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D:\Dropbox\_grants and plans\funded\2020 CTDEEP embyaments\project work\embayment characteristics\"/>
    </mc:Choice>
  </mc:AlternateContent>
  <xr:revisionPtr revIDLastSave="0" documentId="8_{0902C655-5B93-4AB6-9418-CDFB7C61150F}" xr6:coauthVersionLast="47" xr6:coauthVersionMax="47" xr10:uidLastSave="{00000000-0000-0000-0000-000000000000}"/>
  <bookViews>
    <workbookView xWindow="-19310" yWindow="-110" windowWidth="19420" windowHeight="10300" activeTab="1" xr2:uid="{00000000-000D-0000-FFFF-FFFF00000000}"/>
  </bookViews>
  <sheets>
    <sheet name="SUMMARY" sheetId="1" r:id="rId1"/>
    <sheet name="Works Cited" sheetId="8" r:id="rId2"/>
    <sheet name="WWTP source data" sheetId="2" r:id="rId3"/>
    <sheet name="Table 1" sheetId="12" state="hidden" r:id="rId4"/>
    <sheet name="EmbChar SigmaPlot" sheetId="13" state="hidden" r:id="rId5"/>
    <sheet name="Table 10" sheetId="14" state="hidden" r:id="rId6"/>
    <sheet name="Table 13" sheetId="5" state="hidden" r:id="rId7"/>
    <sheet name="App 7 Table" sheetId="6" state="hidden" r:id="rId8"/>
    <sheet name="plotDilRatio, export to MatLab" sheetId="7" state="hidden" r:id="rId9"/>
    <sheet name="Shall Distrib, export to MatLab" sheetId="4" state="hidden" r:id="rId10"/>
  </sheets>
  <definedNames>
    <definedName name="_xlnm.Print_Area" localSheetId="2">'WWTP source data'!$C$1:$BL$111</definedName>
    <definedName name="_xlnm.Print_Titles" localSheetId="2">'WWTP source data'!$1:$1</definedName>
    <definedName name="Z_97FD47F5_E571_436C_8766_A27B1E9999CA_.wvu.Cols" localSheetId="2" hidden="1">'WWTP source data'!$M:$AJ,'WWTP source data'!$AO:$AX</definedName>
    <definedName name="Z_97FD47F5_E571_436C_8766_A27B1E9999CA_.wvu.PrintArea" localSheetId="2" hidden="1">'WWTP source data'!$C$1:$BL$110</definedName>
    <definedName name="Z_97FD47F5_E571_436C_8766_A27B1E9999CA_.wvu.PrintTitles" localSheetId="2" hidden="1">'WWTP source data'!$1:$1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X70" i="1" l="1"/>
  <c r="CV70" i="1"/>
  <c r="E90" i="12" l="1"/>
  <c r="E89" i="12"/>
  <c r="E88" i="12"/>
  <c r="E87" i="12"/>
  <c r="E86" i="12"/>
  <c r="E85" i="12"/>
  <c r="E84" i="12"/>
  <c r="E83" i="12"/>
  <c r="E82" i="12"/>
  <c r="E81" i="12"/>
  <c r="E80" i="12"/>
  <c r="E78" i="12"/>
  <c r="E77" i="12"/>
  <c r="E75" i="12"/>
  <c r="E74" i="12"/>
  <c r="E73" i="12"/>
  <c r="E72" i="12"/>
  <c r="E71" i="12"/>
  <c r="E70" i="12"/>
  <c r="E69" i="12"/>
  <c r="E68" i="12"/>
  <c r="E66" i="12"/>
  <c r="E65" i="12"/>
  <c r="E64" i="12"/>
  <c r="E63" i="12"/>
  <c r="E62" i="12"/>
  <c r="E61" i="12"/>
  <c r="E60" i="12"/>
  <c r="E58" i="12"/>
  <c r="E57" i="12"/>
  <c r="E56" i="12"/>
  <c r="E55" i="12"/>
  <c r="E54" i="12"/>
  <c r="E53" i="12"/>
  <c r="E52" i="12"/>
  <c r="E51" i="12"/>
  <c r="E50" i="12"/>
  <c r="E49" i="12"/>
  <c r="E48" i="12"/>
  <c r="E47" i="12"/>
  <c r="E46" i="12"/>
  <c r="E45" i="12"/>
  <c r="E44" i="12"/>
  <c r="E43" i="12"/>
  <c r="E42" i="12"/>
  <c r="E41" i="12"/>
  <c r="E40" i="12"/>
  <c r="E39" i="12"/>
  <c r="E38" i="12"/>
  <c r="E37" i="12"/>
  <c r="E36" i="12"/>
  <c r="E35" i="12"/>
  <c r="E34" i="12"/>
  <c r="E33" i="12"/>
  <c r="E32" i="12"/>
  <c r="E31" i="12"/>
  <c r="E30" i="12"/>
  <c r="E29" i="12"/>
  <c r="E27" i="12"/>
  <c r="E26" i="12"/>
  <c r="E25" i="12"/>
  <c r="E24" i="12"/>
  <c r="E23" i="12"/>
  <c r="E22" i="12"/>
  <c r="E21" i="12"/>
  <c r="E20" i="12"/>
  <c r="E19" i="12"/>
  <c r="E18" i="12"/>
  <c r="E17" i="12"/>
  <c r="E16" i="12"/>
  <c r="E14" i="12"/>
  <c r="E13" i="12"/>
  <c r="E12" i="12"/>
  <c r="E11" i="12"/>
  <c r="E10" i="12"/>
  <c r="E8" i="12"/>
  <c r="E7" i="12"/>
  <c r="E5" i="12"/>
  <c r="E4" i="12"/>
  <c r="E3" i="12"/>
  <c r="EJ59" i="1" l="1"/>
  <c r="EI59" i="1"/>
  <c r="EH59" i="1"/>
  <c r="EJ36" i="1"/>
  <c r="EI36" i="1"/>
  <c r="EH36" i="1"/>
  <c r="EJ23" i="1"/>
  <c r="EI23" i="1"/>
  <c r="EH23" i="1"/>
  <c r="EF95" i="1"/>
  <c r="EF94" i="1"/>
  <c r="EF93" i="1"/>
  <c r="EF92" i="1"/>
  <c r="EF87" i="1"/>
  <c r="EF86" i="1"/>
  <c r="EF83" i="1"/>
  <c r="EF82" i="1"/>
  <c r="EF80" i="1"/>
  <c r="EF75" i="1"/>
  <c r="EF74" i="1"/>
  <c r="EF72" i="1"/>
  <c r="EF70" i="1"/>
  <c r="EF69" i="1"/>
  <c r="EF68" i="1"/>
  <c r="EF62" i="1"/>
  <c r="EF60" i="1"/>
  <c r="EF59" i="1"/>
  <c r="EF58" i="1"/>
  <c r="EF57" i="1"/>
  <c r="EF56" i="1"/>
  <c r="EF51" i="1"/>
  <c r="EF50" i="1"/>
  <c r="EF48" i="1"/>
  <c r="EF47" i="1"/>
  <c r="EF46" i="1"/>
  <c r="EF45" i="1"/>
  <c r="EF44" i="1"/>
  <c r="EF39" i="1"/>
  <c r="EF38" i="1"/>
  <c r="EF36" i="1"/>
  <c r="EF35" i="1"/>
  <c r="EF34" i="1"/>
  <c r="EF33" i="1"/>
  <c r="EF32" i="1"/>
  <c r="EF27" i="1"/>
  <c r="EF26" i="1"/>
  <c r="EF24" i="1"/>
  <c r="EF23" i="1"/>
  <c r="EF22" i="1"/>
  <c r="EF21" i="1"/>
  <c r="EF20" i="1"/>
  <c r="EF15" i="1"/>
  <c r="EF14" i="1"/>
  <c r="EF12" i="1"/>
  <c r="EF11" i="1"/>
  <c r="EF9" i="1"/>
  <c r="EF8" i="1"/>
  <c r="AQ95" i="1"/>
  <c r="AQ94" i="1"/>
  <c r="AQ93" i="1"/>
  <c r="AQ92" i="1"/>
  <c r="AQ91" i="1"/>
  <c r="EF91" i="1" s="1"/>
  <c r="AQ90" i="1"/>
  <c r="EF90" i="1" s="1"/>
  <c r="AQ89" i="1"/>
  <c r="EF89" i="1" s="1"/>
  <c r="AQ88" i="1"/>
  <c r="EF88" i="1" s="1"/>
  <c r="AQ87" i="1"/>
  <c r="AQ86" i="1"/>
  <c r="AQ85" i="1"/>
  <c r="EF85" i="1" s="1"/>
  <c r="AQ83" i="1"/>
  <c r="AQ82" i="1"/>
  <c r="AQ80" i="1"/>
  <c r="AQ79" i="1"/>
  <c r="EF79" i="1" s="1"/>
  <c r="AQ78" i="1"/>
  <c r="EF78" i="1" s="1"/>
  <c r="AQ77" i="1"/>
  <c r="EF77" i="1" s="1"/>
  <c r="AQ76" i="1"/>
  <c r="EF76" i="1" s="1"/>
  <c r="AQ75" i="1"/>
  <c r="AQ74" i="1"/>
  <c r="AQ73" i="1"/>
  <c r="EF73" i="1" s="1"/>
  <c r="AQ72" i="1"/>
  <c r="AQ70" i="1"/>
  <c r="AQ69" i="1"/>
  <c r="AQ68" i="1"/>
  <c r="AQ67" i="1"/>
  <c r="EF67" i="1" s="1"/>
  <c r="AQ66" i="1"/>
  <c r="EF66" i="1" s="1"/>
  <c r="AQ65" i="1"/>
  <c r="EF65" i="1" s="1"/>
  <c r="AQ64" i="1"/>
  <c r="EF64" i="1" s="1"/>
  <c r="AQ62" i="1"/>
  <c r="AQ61" i="1"/>
  <c r="EF61" i="1" s="1"/>
  <c r="AQ60" i="1"/>
  <c r="AQ59" i="1"/>
  <c r="AQ58" i="1"/>
  <c r="AQ57" i="1"/>
  <c r="AQ56" i="1"/>
  <c r="AQ55" i="1"/>
  <c r="EF55" i="1" s="1"/>
  <c r="AQ54" i="1"/>
  <c r="EF54" i="1" s="1"/>
  <c r="AQ53" i="1"/>
  <c r="EF53" i="1" s="1"/>
  <c r="AQ52" i="1"/>
  <c r="EF52" i="1" s="1"/>
  <c r="AQ51" i="1"/>
  <c r="AQ50" i="1"/>
  <c r="AQ49" i="1"/>
  <c r="EF49" i="1" s="1"/>
  <c r="AQ48" i="1"/>
  <c r="AQ47" i="1"/>
  <c r="AQ46" i="1"/>
  <c r="AQ45" i="1"/>
  <c r="AQ44" i="1"/>
  <c r="AQ43" i="1"/>
  <c r="EF43" i="1" s="1"/>
  <c r="AQ42" i="1"/>
  <c r="EF42" i="1" s="1"/>
  <c r="AQ41" i="1"/>
  <c r="EF41" i="1" s="1"/>
  <c r="AQ40" i="1"/>
  <c r="EF40" i="1" s="1"/>
  <c r="AQ39" i="1"/>
  <c r="AQ38" i="1"/>
  <c r="AQ37" i="1"/>
  <c r="EF37" i="1" s="1"/>
  <c r="AQ36" i="1"/>
  <c r="AQ35" i="1"/>
  <c r="AQ34" i="1"/>
  <c r="AQ33" i="1"/>
  <c r="AQ32" i="1"/>
  <c r="AQ31" i="1"/>
  <c r="EF31" i="1" s="1"/>
  <c r="AQ29" i="1"/>
  <c r="EF29" i="1" s="1"/>
  <c r="AQ28" i="1"/>
  <c r="EF28" i="1" s="1"/>
  <c r="AQ27" i="1"/>
  <c r="AQ26" i="1"/>
  <c r="AQ25" i="1"/>
  <c r="EF25" i="1" s="1"/>
  <c r="AQ24" i="1"/>
  <c r="AQ23" i="1"/>
  <c r="AQ22" i="1"/>
  <c r="AQ21" i="1"/>
  <c r="AQ20" i="1"/>
  <c r="AQ19" i="1"/>
  <c r="EF19" i="1" s="1"/>
  <c r="AQ18" i="1"/>
  <c r="EF18" i="1" s="1"/>
  <c r="AQ17" i="1"/>
  <c r="EF17" i="1" s="1"/>
  <c r="AQ15" i="1"/>
  <c r="AQ14" i="1"/>
  <c r="AQ13" i="1"/>
  <c r="EF13" i="1" s="1"/>
  <c r="AQ12" i="1"/>
  <c r="AQ11" i="1"/>
  <c r="AQ9" i="1"/>
  <c r="AQ8" i="1"/>
  <c r="AQ6" i="1"/>
  <c r="EF6" i="1" s="1"/>
  <c r="AQ5" i="1"/>
  <c r="EF5" i="1" s="1"/>
  <c r="AQ4" i="1"/>
  <c r="EF4" i="1" s="1"/>
  <c r="DD5" i="1"/>
  <c r="DE5" i="1"/>
  <c r="DD6" i="1"/>
  <c r="DE6" i="1"/>
  <c r="DD7" i="1"/>
  <c r="DE7" i="1"/>
  <c r="DD8" i="1"/>
  <c r="DE8" i="1"/>
  <c r="DD9" i="1"/>
  <c r="DE9" i="1"/>
  <c r="DD10" i="1"/>
  <c r="DE10" i="1"/>
  <c r="DD11" i="1"/>
  <c r="DE11" i="1"/>
  <c r="DD12" i="1"/>
  <c r="DE12" i="1"/>
  <c r="DD13" i="1"/>
  <c r="DE13" i="1"/>
  <c r="DD14" i="1"/>
  <c r="DE14" i="1"/>
  <c r="DD15" i="1"/>
  <c r="DE15" i="1"/>
  <c r="DD16" i="1"/>
  <c r="DE16" i="1"/>
  <c r="DD17" i="1"/>
  <c r="DE17" i="1"/>
  <c r="DD18" i="1"/>
  <c r="DE18" i="1"/>
  <c r="DD19" i="1"/>
  <c r="DE19" i="1"/>
  <c r="DD20" i="1"/>
  <c r="DE20" i="1"/>
  <c r="DD21" i="1"/>
  <c r="DE21" i="1"/>
  <c r="DD22" i="1"/>
  <c r="DE22" i="1"/>
  <c r="DD23" i="1"/>
  <c r="DE23" i="1"/>
  <c r="DD24" i="1"/>
  <c r="DE24" i="1"/>
  <c r="DD25" i="1"/>
  <c r="DE25" i="1"/>
  <c r="DD26" i="1"/>
  <c r="DE26" i="1"/>
  <c r="DD27" i="1"/>
  <c r="DE27" i="1"/>
  <c r="DD28" i="1"/>
  <c r="DE28" i="1"/>
  <c r="DD29" i="1"/>
  <c r="DE29" i="1"/>
  <c r="DD30" i="1"/>
  <c r="DE30" i="1"/>
  <c r="DD31" i="1"/>
  <c r="DE31" i="1"/>
  <c r="DD32" i="1"/>
  <c r="DE32" i="1"/>
  <c r="DD33" i="1"/>
  <c r="DE33" i="1"/>
  <c r="DD34" i="1"/>
  <c r="DE34" i="1"/>
  <c r="DD35" i="1"/>
  <c r="DE35" i="1"/>
  <c r="DD36" i="1"/>
  <c r="DE36" i="1"/>
  <c r="DD37" i="1"/>
  <c r="DE37" i="1"/>
  <c r="DD38" i="1"/>
  <c r="DE38" i="1"/>
  <c r="DD39" i="1"/>
  <c r="DE39" i="1"/>
  <c r="DD40" i="1"/>
  <c r="DE40" i="1"/>
  <c r="DD41" i="1"/>
  <c r="DE41" i="1"/>
  <c r="DD42" i="1"/>
  <c r="DE42" i="1"/>
  <c r="DD43" i="1"/>
  <c r="DE43" i="1"/>
  <c r="DD44" i="1"/>
  <c r="DE44" i="1"/>
  <c r="DD45" i="1"/>
  <c r="DE45" i="1"/>
  <c r="DD46" i="1"/>
  <c r="DE46" i="1"/>
  <c r="DD47" i="1"/>
  <c r="DE47" i="1"/>
  <c r="DD48" i="1"/>
  <c r="DE48" i="1"/>
  <c r="DD49" i="1"/>
  <c r="DE49" i="1"/>
  <c r="DD50" i="1"/>
  <c r="DE50" i="1"/>
  <c r="DD51" i="1"/>
  <c r="DE51" i="1"/>
  <c r="DD52" i="1"/>
  <c r="DE52" i="1"/>
  <c r="DD53" i="1"/>
  <c r="DE53" i="1"/>
  <c r="DD54" i="1"/>
  <c r="DE54" i="1"/>
  <c r="DD55" i="1"/>
  <c r="DE55" i="1"/>
  <c r="DD56" i="1"/>
  <c r="DE56" i="1"/>
  <c r="DD57" i="1"/>
  <c r="DE57" i="1"/>
  <c r="DD58" i="1"/>
  <c r="DE58" i="1"/>
  <c r="DD59" i="1"/>
  <c r="DE59" i="1"/>
  <c r="DD60" i="1"/>
  <c r="DE60" i="1"/>
  <c r="DD61" i="1"/>
  <c r="DE61" i="1"/>
  <c r="DD62" i="1"/>
  <c r="DE62" i="1"/>
  <c r="DD63" i="1"/>
  <c r="DE63" i="1"/>
  <c r="DD64" i="1"/>
  <c r="DE64" i="1"/>
  <c r="DD65" i="1"/>
  <c r="DE65" i="1"/>
  <c r="DD66" i="1"/>
  <c r="DE66" i="1"/>
  <c r="DD67" i="1"/>
  <c r="DE67" i="1"/>
  <c r="DD68" i="1"/>
  <c r="DE68" i="1"/>
  <c r="DD69" i="1"/>
  <c r="DE69" i="1"/>
  <c r="DD70" i="1"/>
  <c r="DE70" i="1"/>
  <c r="DD71" i="1"/>
  <c r="DE71" i="1"/>
  <c r="DD72" i="1"/>
  <c r="DE72" i="1"/>
  <c r="DD73" i="1"/>
  <c r="DE73" i="1"/>
  <c r="DD74" i="1"/>
  <c r="DE74" i="1"/>
  <c r="DD75" i="1"/>
  <c r="DE75" i="1"/>
  <c r="DD76" i="1"/>
  <c r="DE76" i="1"/>
  <c r="DD77" i="1"/>
  <c r="DE77" i="1"/>
  <c r="DD78" i="1"/>
  <c r="DE78" i="1"/>
  <c r="DD79" i="1"/>
  <c r="DE79" i="1"/>
  <c r="DD80" i="1"/>
  <c r="DE80" i="1"/>
  <c r="DD81" i="1"/>
  <c r="DE81" i="1"/>
  <c r="DD82" i="1"/>
  <c r="DE82" i="1"/>
  <c r="DD83" i="1"/>
  <c r="DE83" i="1"/>
  <c r="DD84" i="1"/>
  <c r="DE84" i="1"/>
  <c r="DD85" i="1"/>
  <c r="DE85" i="1"/>
  <c r="DD86" i="1"/>
  <c r="DE86" i="1"/>
  <c r="DD87" i="1"/>
  <c r="DE87" i="1"/>
  <c r="DD88" i="1"/>
  <c r="DE88" i="1"/>
  <c r="DD89" i="1"/>
  <c r="DE89" i="1"/>
  <c r="DD90" i="1"/>
  <c r="DE90" i="1"/>
  <c r="DD91" i="1"/>
  <c r="DE91" i="1"/>
  <c r="DD92" i="1"/>
  <c r="DE92" i="1"/>
  <c r="DD93" i="1"/>
  <c r="DE93" i="1"/>
  <c r="DD94" i="1"/>
  <c r="DE94" i="1"/>
  <c r="DD95" i="1"/>
  <c r="DE95" i="1"/>
  <c r="DD96" i="1"/>
  <c r="DE96" i="1"/>
  <c r="DE4" i="1"/>
  <c r="DD4" i="1"/>
  <c r="EE59" i="1" l="1"/>
  <c r="EE36" i="1"/>
  <c r="EE23" i="1"/>
  <c r="DR96" i="1"/>
  <c r="DZ95" i="1"/>
  <c r="DY95" i="1"/>
  <c r="DX95" i="1"/>
  <c r="DW95" i="1"/>
  <c r="DR95" i="1"/>
  <c r="DN95" i="1"/>
  <c r="DM95" i="1"/>
  <c r="DL95" i="1"/>
  <c r="DK95" i="1"/>
  <c r="DH95" i="1"/>
  <c r="DG95" i="1"/>
  <c r="DF95" i="1"/>
  <c r="DZ94" i="1"/>
  <c r="DY94" i="1"/>
  <c r="DX94" i="1"/>
  <c r="DW94" i="1"/>
  <c r="DR94" i="1"/>
  <c r="DN94" i="1"/>
  <c r="DM94" i="1"/>
  <c r="DL94" i="1"/>
  <c r="DK94" i="1"/>
  <c r="DH94" i="1"/>
  <c r="DG94" i="1"/>
  <c r="DF94" i="1"/>
  <c r="DZ93" i="1"/>
  <c r="DY93" i="1"/>
  <c r="DX93" i="1"/>
  <c r="DW93" i="1"/>
  <c r="DR93" i="1"/>
  <c r="DN93" i="1"/>
  <c r="DM93" i="1"/>
  <c r="DL93" i="1"/>
  <c r="DK93" i="1"/>
  <c r="DH93" i="1"/>
  <c r="DG93" i="1"/>
  <c r="DF93" i="1"/>
  <c r="DZ92" i="1"/>
  <c r="DY92" i="1"/>
  <c r="DX92" i="1"/>
  <c r="DW92" i="1"/>
  <c r="DR92" i="1"/>
  <c r="DN92" i="1"/>
  <c r="DM92" i="1"/>
  <c r="DL92" i="1"/>
  <c r="DK92" i="1"/>
  <c r="DH92" i="1"/>
  <c r="DG92" i="1"/>
  <c r="DF92" i="1"/>
  <c r="DZ91" i="1"/>
  <c r="DY91" i="1"/>
  <c r="DX91" i="1"/>
  <c r="DW91" i="1"/>
  <c r="DR91" i="1"/>
  <c r="DN91" i="1"/>
  <c r="DM91" i="1"/>
  <c r="DL91" i="1"/>
  <c r="DK91" i="1"/>
  <c r="DH91" i="1"/>
  <c r="DG91" i="1"/>
  <c r="DF91" i="1"/>
  <c r="DZ90" i="1"/>
  <c r="DY90" i="1"/>
  <c r="DX90" i="1"/>
  <c r="DW90" i="1"/>
  <c r="DR90" i="1"/>
  <c r="DN90" i="1"/>
  <c r="DM90" i="1"/>
  <c r="DL90" i="1"/>
  <c r="DK90" i="1"/>
  <c r="DH90" i="1"/>
  <c r="DG90" i="1"/>
  <c r="DF90" i="1"/>
  <c r="DZ89" i="1"/>
  <c r="DY89" i="1"/>
  <c r="DX89" i="1"/>
  <c r="DW89" i="1"/>
  <c r="DR89" i="1"/>
  <c r="DN89" i="1"/>
  <c r="DM89" i="1"/>
  <c r="DL89" i="1"/>
  <c r="DK89" i="1"/>
  <c r="DH89" i="1"/>
  <c r="DG89" i="1"/>
  <c r="DF89" i="1"/>
  <c r="DZ88" i="1"/>
  <c r="DY88" i="1"/>
  <c r="DX88" i="1"/>
  <c r="DW88" i="1"/>
  <c r="DR88" i="1"/>
  <c r="DN88" i="1"/>
  <c r="DM88" i="1"/>
  <c r="DL88" i="1"/>
  <c r="DK88" i="1"/>
  <c r="DH88" i="1"/>
  <c r="DG88" i="1"/>
  <c r="DF88" i="1"/>
  <c r="DZ87" i="1"/>
  <c r="DY87" i="1"/>
  <c r="DX87" i="1"/>
  <c r="DW87" i="1"/>
  <c r="DR87" i="1"/>
  <c r="DN87" i="1"/>
  <c r="DM87" i="1"/>
  <c r="DL87" i="1"/>
  <c r="DK87" i="1"/>
  <c r="DH87" i="1"/>
  <c r="DG87" i="1"/>
  <c r="DF87" i="1"/>
  <c r="DZ86" i="1"/>
  <c r="DY86" i="1"/>
  <c r="DX86" i="1"/>
  <c r="DW86" i="1"/>
  <c r="DR86" i="1"/>
  <c r="DN86" i="1"/>
  <c r="DM86" i="1"/>
  <c r="DL86" i="1"/>
  <c r="DK86" i="1"/>
  <c r="DH86" i="1"/>
  <c r="DG86" i="1"/>
  <c r="DF86" i="1"/>
  <c r="DZ85" i="1"/>
  <c r="DY85" i="1"/>
  <c r="DX85" i="1"/>
  <c r="DW85" i="1"/>
  <c r="DR85" i="1"/>
  <c r="DN85" i="1"/>
  <c r="DM85" i="1"/>
  <c r="DL85" i="1"/>
  <c r="DK85" i="1"/>
  <c r="DH85" i="1"/>
  <c r="DG85" i="1"/>
  <c r="DF85" i="1"/>
  <c r="DR84" i="1"/>
  <c r="DZ83" i="1"/>
  <c r="DY83" i="1"/>
  <c r="DX83" i="1"/>
  <c r="DW83" i="1"/>
  <c r="DR83" i="1"/>
  <c r="DN83" i="1"/>
  <c r="DM83" i="1"/>
  <c r="DL83" i="1"/>
  <c r="DK83" i="1"/>
  <c r="DH83" i="1"/>
  <c r="DG83" i="1"/>
  <c r="DF83" i="1"/>
  <c r="DZ82" i="1"/>
  <c r="DY82" i="1"/>
  <c r="DX82" i="1"/>
  <c r="DW82" i="1"/>
  <c r="DR82" i="1"/>
  <c r="DN82" i="1"/>
  <c r="DM82" i="1"/>
  <c r="DL82" i="1"/>
  <c r="DK82" i="1"/>
  <c r="DH82" i="1"/>
  <c r="DG82" i="1"/>
  <c r="DF82" i="1"/>
  <c r="DR81" i="1"/>
  <c r="DZ80" i="1"/>
  <c r="DY80" i="1"/>
  <c r="DX80" i="1"/>
  <c r="DW80" i="1"/>
  <c r="DR80" i="1"/>
  <c r="DN80" i="1"/>
  <c r="DM80" i="1"/>
  <c r="DL80" i="1"/>
  <c r="DK80" i="1"/>
  <c r="DH80" i="1"/>
  <c r="DG80" i="1"/>
  <c r="DF80" i="1"/>
  <c r="DZ79" i="1"/>
  <c r="DY79" i="1"/>
  <c r="DX79" i="1"/>
  <c r="DW79" i="1"/>
  <c r="DR79" i="1"/>
  <c r="DN79" i="1"/>
  <c r="DM79" i="1"/>
  <c r="DL79" i="1"/>
  <c r="DK79" i="1"/>
  <c r="DH79" i="1"/>
  <c r="DG79" i="1"/>
  <c r="DF79" i="1"/>
  <c r="DZ78" i="1"/>
  <c r="DY78" i="1"/>
  <c r="DX78" i="1"/>
  <c r="DW78" i="1"/>
  <c r="DR78" i="1"/>
  <c r="DN78" i="1"/>
  <c r="DM78" i="1"/>
  <c r="DL78" i="1"/>
  <c r="DK78" i="1"/>
  <c r="DH78" i="1"/>
  <c r="DG78" i="1"/>
  <c r="DF78" i="1"/>
  <c r="DZ77" i="1"/>
  <c r="DY77" i="1"/>
  <c r="DX77" i="1"/>
  <c r="DW77" i="1"/>
  <c r="DR77" i="1"/>
  <c r="DN77" i="1"/>
  <c r="DM77" i="1"/>
  <c r="DL77" i="1"/>
  <c r="DK77" i="1"/>
  <c r="DH77" i="1"/>
  <c r="DG77" i="1"/>
  <c r="DF77" i="1"/>
  <c r="DZ76" i="1"/>
  <c r="DY76" i="1"/>
  <c r="DX76" i="1"/>
  <c r="DW76" i="1"/>
  <c r="DR76" i="1"/>
  <c r="DN76" i="1"/>
  <c r="DM76" i="1"/>
  <c r="DL76" i="1"/>
  <c r="DK76" i="1"/>
  <c r="DH76" i="1"/>
  <c r="DG76" i="1"/>
  <c r="DF76" i="1"/>
  <c r="DZ75" i="1"/>
  <c r="DY75" i="1"/>
  <c r="DX75" i="1"/>
  <c r="DW75" i="1"/>
  <c r="DR75" i="1"/>
  <c r="DN75" i="1"/>
  <c r="DM75" i="1"/>
  <c r="DL75" i="1"/>
  <c r="DK75" i="1"/>
  <c r="DH75" i="1"/>
  <c r="DG75" i="1"/>
  <c r="DF75" i="1"/>
  <c r="DZ74" i="1"/>
  <c r="DY74" i="1"/>
  <c r="DX74" i="1"/>
  <c r="DW74" i="1"/>
  <c r="DR74" i="1"/>
  <c r="DN74" i="1"/>
  <c r="DM74" i="1"/>
  <c r="DL74" i="1"/>
  <c r="DK74" i="1"/>
  <c r="DH74" i="1"/>
  <c r="DG74" i="1"/>
  <c r="DF74" i="1"/>
  <c r="DZ73" i="1"/>
  <c r="DY73" i="1"/>
  <c r="DX73" i="1"/>
  <c r="DW73" i="1"/>
  <c r="DR73" i="1"/>
  <c r="DN73" i="1"/>
  <c r="DM73" i="1"/>
  <c r="DL73" i="1"/>
  <c r="DK73" i="1"/>
  <c r="DH73" i="1"/>
  <c r="DG73" i="1"/>
  <c r="DZ72" i="1"/>
  <c r="DY72" i="1"/>
  <c r="DX72" i="1"/>
  <c r="DW72" i="1"/>
  <c r="DR72" i="1"/>
  <c r="DN72" i="1"/>
  <c r="DM72" i="1"/>
  <c r="DL72" i="1"/>
  <c r="DK72" i="1"/>
  <c r="DH72" i="1"/>
  <c r="DG72" i="1"/>
  <c r="DF72" i="1"/>
  <c r="DR71" i="1"/>
  <c r="DZ70" i="1"/>
  <c r="DY70" i="1"/>
  <c r="DX70" i="1"/>
  <c r="DW70" i="1"/>
  <c r="DR70" i="1"/>
  <c r="DN70" i="1"/>
  <c r="DM70" i="1"/>
  <c r="DL70" i="1"/>
  <c r="DK70" i="1"/>
  <c r="DH70" i="1"/>
  <c r="DG70" i="1"/>
  <c r="DF70" i="1"/>
  <c r="DZ69" i="1"/>
  <c r="DY69" i="1"/>
  <c r="DX69" i="1"/>
  <c r="DW69" i="1"/>
  <c r="DR69" i="1"/>
  <c r="DN69" i="1"/>
  <c r="DM69" i="1"/>
  <c r="DL69" i="1"/>
  <c r="DK69" i="1"/>
  <c r="DH69" i="1"/>
  <c r="DG69" i="1"/>
  <c r="DF69" i="1"/>
  <c r="DZ68" i="1"/>
  <c r="DY68" i="1"/>
  <c r="DX68" i="1"/>
  <c r="DW68" i="1"/>
  <c r="DR68" i="1"/>
  <c r="DN68" i="1"/>
  <c r="DM68" i="1"/>
  <c r="DL68" i="1"/>
  <c r="DK68" i="1"/>
  <c r="DH68" i="1"/>
  <c r="DG68" i="1"/>
  <c r="DF68" i="1"/>
  <c r="DZ67" i="1"/>
  <c r="DY67" i="1"/>
  <c r="DX67" i="1"/>
  <c r="DW67" i="1"/>
  <c r="DR67" i="1"/>
  <c r="DN67" i="1"/>
  <c r="DM67" i="1"/>
  <c r="DL67" i="1"/>
  <c r="DK67" i="1"/>
  <c r="DH67" i="1"/>
  <c r="DG67" i="1"/>
  <c r="DF67" i="1"/>
  <c r="DZ66" i="1"/>
  <c r="DY66" i="1"/>
  <c r="DX66" i="1"/>
  <c r="DW66" i="1"/>
  <c r="DR66" i="1"/>
  <c r="DN66" i="1"/>
  <c r="DM66" i="1"/>
  <c r="DL66" i="1"/>
  <c r="DK66" i="1"/>
  <c r="DH66" i="1"/>
  <c r="DG66" i="1"/>
  <c r="DF66" i="1"/>
  <c r="DZ65" i="1"/>
  <c r="DY65" i="1"/>
  <c r="DX65" i="1"/>
  <c r="DW65" i="1"/>
  <c r="DR65" i="1"/>
  <c r="DN65" i="1"/>
  <c r="DM65" i="1"/>
  <c r="DL65" i="1"/>
  <c r="DK65" i="1"/>
  <c r="DH65" i="1"/>
  <c r="DG65" i="1"/>
  <c r="DF65" i="1"/>
  <c r="DZ64" i="1"/>
  <c r="DY64" i="1"/>
  <c r="DX64" i="1"/>
  <c r="DW64" i="1"/>
  <c r="DR64" i="1"/>
  <c r="DN64" i="1"/>
  <c r="DM64" i="1"/>
  <c r="DL64" i="1"/>
  <c r="DK64" i="1"/>
  <c r="DH64" i="1"/>
  <c r="DG64" i="1"/>
  <c r="DF64" i="1"/>
  <c r="DR63" i="1"/>
  <c r="DZ62" i="1"/>
  <c r="DY62" i="1"/>
  <c r="DX62" i="1"/>
  <c r="DW62" i="1"/>
  <c r="DR62" i="1"/>
  <c r="DN62" i="1"/>
  <c r="DM62" i="1"/>
  <c r="DL62" i="1"/>
  <c r="DK62" i="1"/>
  <c r="DH62" i="1"/>
  <c r="DG62" i="1"/>
  <c r="DF62" i="1"/>
  <c r="DZ61" i="1"/>
  <c r="DY61" i="1"/>
  <c r="DX61" i="1"/>
  <c r="DW61" i="1"/>
  <c r="DR61" i="1"/>
  <c r="DN61" i="1"/>
  <c r="DM61" i="1"/>
  <c r="DL61" i="1"/>
  <c r="DK61" i="1"/>
  <c r="DH61" i="1"/>
  <c r="DG61" i="1"/>
  <c r="DF61" i="1"/>
  <c r="DZ60" i="1"/>
  <c r="DY60" i="1"/>
  <c r="DX60" i="1"/>
  <c r="DW60" i="1"/>
  <c r="DR60" i="1"/>
  <c r="DN60" i="1"/>
  <c r="DM60" i="1"/>
  <c r="DL60" i="1"/>
  <c r="DK60" i="1"/>
  <c r="DH60" i="1"/>
  <c r="DG60" i="1"/>
  <c r="DF60" i="1"/>
  <c r="ED59" i="1"/>
  <c r="EC59" i="1"/>
  <c r="EB59" i="1"/>
  <c r="EA59" i="1"/>
  <c r="DZ59" i="1"/>
  <c r="DY59" i="1"/>
  <c r="DX59" i="1"/>
  <c r="DW59" i="1"/>
  <c r="DU59" i="1"/>
  <c r="DT59" i="1"/>
  <c r="DS59" i="1"/>
  <c r="DR59" i="1"/>
  <c r="DQ59" i="1"/>
  <c r="DP59" i="1"/>
  <c r="DO59" i="1"/>
  <c r="DN59" i="1"/>
  <c r="DM59" i="1"/>
  <c r="DL59" i="1"/>
  <c r="DK59" i="1"/>
  <c r="DJ59" i="1"/>
  <c r="DH59" i="1"/>
  <c r="DG59" i="1"/>
  <c r="DF59" i="1"/>
  <c r="DZ58" i="1"/>
  <c r="DY58" i="1"/>
  <c r="DX58" i="1"/>
  <c r="DW58" i="1"/>
  <c r="DR58" i="1"/>
  <c r="DN58" i="1"/>
  <c r="DM58" i="1"/>
  <c r="DL58" i="1"/>
  <c r="DK58" i="1"/>
  <c r="DH58" i="1"/>
  <c r="DG58" i="1"/>
  <c r="DF58" i="1"/>
  <c r="DZ57" i="1"/>
  <c r="DY57" i="1"/>
  <c r="DX57" i="1"/>
  <c r="DW57" i="1"/>
  <c r="DR57" i="1"/>
  <c r="DN57" i="1"/>
  <c r="DM57" i="1"/>
  <c r="DL57" i="1"/>
  <c r="DK57" i="1"/>
  <c r="DH57" i="1"/>
  <c r="DG57" i="1"/>
  <c r="DF57" i="1"/>
  <c r="DZ56" i="1"/>
  <c r="DY56" i="1"/>
  <c r="DX56" i="1"/>
  <c r="DW56" i="1"/>
  <c r="DR56" i="1"/>
  <c r="DN56" i="1"/>
  <c r="DM56" i="1"/>
  <c r="DL56" i="1"/>
  <c r="DK56" i="1"/>
  <c r="DH56" i="1"/>
  <c r="DG56" i="1"/>
  <c r="DF56" i="1"/>
  <c r="DZ55" i="1"/>
  <c r="DY55" i="1"/>
  <c r="DX55" i="1"/>
  <c r="DW55" i="1"/>
  <c r="DR55" i="1"/>
  <c r="DN55" i="1"/>
  <c r="DM55" i="1"/>
  <c r="DL55" i="1"/>
  <c r="DK55" i="1"/>
  <c r="DH55" i="1"/>
  <c r="DG55" i="1"/>
  <c r="DF55" i="1"/>
  <c r="DZ54" i="1"/>
  <c r="DY54" i="1"/>
  <c r="DX54" i="1"/>
  <c r="DW54" i="1"/>
  <c r="DR54" i="1"/>
  <c r="DN54" i="1"/>
  <c r="DM54" i="1"/>
  <c r="DL54" i="1"/>
  <c r="DK54" i="1"/>
  <c r="DH54" i="1"/>
  <c r="DG54" i="1"/>
  <c r="DF54" i="1"/>
  <c r="DZ53" i="1"/>
  <c r="DY53" i="1"/>
  <c r="DX53" i="1"/>
  <c r="DW53" i="1"/>
  <c r="DR53" i="1"/>
  <c r="DN53" i="1"/>
  <c r="DM53" i="1"/>
  <c r="DL53" i="1"/>
  <c r="DK53" i="1"/>
  <c r="DH53" i="1"/>
  <c r="DG53" i="1"/>
  <c r="DF53" i="1"/>
  <c r="DZ52" i="1"/>
  <c r="DY52" i="1"/>
  <c r="DX52" i="1"/>
  <c r="DW52" i="1"/>
  <c r="DR52" i="1"/>
  <c r="DN52" i="1"/>
  <c r="DM52" i="1"/>
  <c r="DL52" i="1"/>
  <c r="DK52" i="1"/>
  <c r="DH52" i="1"/>
  <c r="DG52" i="1"/>
  <c r="DF52" i="1"/>
  <c r="DZ51" i="1"/>
  <c r="DY51" i="1"/>
  <c r="DX51" i="1"/>
  <c r="DW51" i="1"/>
  <c r="DR51" i="1"/>
  <c r="DN51" i="1"/>
  <c r="DM51" i="1"/>
  <c r="DL51" i="1"/>
  <c r="DK51" i="1"/>
  <c r="DH51" i="1"/>
  <c r="DG51" i="1"/>
  <c r="DF51" i="1"/>
  <c r="DZ50" i="1"/>
  <c r="DY50" i="1"/>
  <c r="DX50" i="1"/>
  <c r="DW50" i="1"/>
  <c r="DR50" i="1"/>
  <c r="DN50" i="1"/>
  <c r="DM50" i="1"/>
  <c r="DL50" i="1"/>
  <c r="DK50" i="1"/>
  <c r="DH50" i="1"/>
  <c r="DG50" i="1"/>
  <c r="DF50" i="1"/>
  <c r="DZ49" i="1"/>
  <c r="DY49" i="1"/>
  <c r="DX49" i="1"/>
  <c r="DW49" i="1"/>
  <c r="DR49" i="1"/>
  <c r="DN49" i="1"/>
  <c r="DM49" i="1"/>
  <c r="DL49" i="1"/>
  <c r="DK49" i="1"/>
  <c r="DH49" i="1"/>
  <c r="DG49" i="1"/>
  <c r="DF49" i="1"/>
  <c r="DZ48" i="1"/>
  <c r="DY48" i="1"/>
  <c r="DX48" i="1"/>
  <c r="DW48" i="1"/>
  <c r="DR48" i="1"/>
  <c r="DN48" i="1"/>
  <c r="DM48" i="1"/>
  <c r="DL48" i="1"/>
  <c r="DK48" i="1"/>
  <c r="DH48" i="1"/>
  <c r="DG48" i="1"/>
  <c r="DF48" i="1"/>
  <c r="DZ47" i="1"/>
  <c r="DY47" i="1"/>
  <c r="DX47" i="1"/>
  <c r="DW47" i="1"/>
  <c r="DR47" i="1"/>
  <c r="DN47" i="1"/>
  <c r="DM47" i="1"/>
  <c r="DL47" i="1"/>
  <c r="DK47" i="1"/>
  <c r="DH47" i="1"/>
  <c r="DG47" i="1"/>
  <c r="DF47" i="1"/>
  <c r="DZ46" i="1"/>
  <c r="DY46" i="1"/>
  <c r="DX46" i="1"/>
  <c r="DW46" i="1"/>
  <c r="DR46" i="1"/>
  <c r="DN46" i="1"/>
  <c r="DM46" i="1"/>
  <c r="DL46" i="1"/>
  <c r="DK46" i="1"/>
  <c r="DH46" i="1"/>
  <c r="DG46" i="1"/>
  <c r="DF46" i="1"/>
  <c r="DZ45" i="1"/>
  <c r="DY45" i="1"/>
  <c r="DX45" i="1"/>
  <c r="DW45" i="1"/>
  <c r="DR45" i="1"/>
  <c r="DN45" i="1"/>
  <c r="DM45" i="1"/>
  <c r="DL45" i="1"/>
  <c r="DK45" i="1"/>
  <c r="DH45" i="1"/>
  <c r="DG45" i="1"/>
  <c r="DF45" i="1"/>
  <c r="DZ44" i="1"/>
  <c r="DY44" i="1"/>
  <c r="DX44" i="1"/>
  <c r="DW44" i="1"/>
  <c r="DR44" i="1"/>
  <c r="DN44" i="1"/>
  <c r="DM44" i="1"/>
  <c r="DL44" i="1"/>
  <c r="DK44" i="1"/>
  <c r="DH44" i="1"/>
  <c r="DG44" i="1"/>
  <c r="DF44" i="1"/>
  <c r="DZ43" i="1"/>
  <c r="DY43" i="1"/>
  <c r="DX43" i="1"/>
  <c r="DW43" i="1"/>
  <c r="DR43" i="1"/>
  <c r="DN43" i="1"/>
  <c r="DM43" i="1"/>
  <c r="DL43" i="1"/>
  <c r="DK43" i="1"/>
  <c r="DH43" i="1"/>
  <c r="DG43" i="1"/>
  <c r="DF43" i="1"/>
  <c r="DZ42" i="1"/>
  <c r="DY42" i="1"/>
  <c r="DX42" i="1"/>
  <c r="DW42" i="1"/>
  <c r="DR42" i="1"/>
  <c r="DN42" i="1"/>
  <c r="DM42" i="1"/>
  <c r="DL42" i="1"/>
  <c r="DK42" i="1"/>
  <c r="DH42" i="1"/>
  <c r="DG42" i="1"/>
  <c r="DF42" i="1"/>
  <c r="DZ41" i="1"/>
  <c r="DY41" i="1"/>
  <c r="DX41" i="1"/>
  <c r="DW41" i="1"/>
  <c r="DR41" i="1"/>
  <c r="DN41" i="1"/>
  <c r="DM41" i="1"/>
  <c r="DL41" i="1"/>
  <c r="DK41" i="1"/>
  <c r="DH41" i="1"/>
  <c r="DG41" i="1"/>
  <c r="DF41" i="1"/>
  <c r="DZ40" i="1"/>
  <c r="DY40" i="1"/>
  <c r="DX40" i="1"/>
  <c r="DW40" i="1"/>
  <c r="DV40" i="1"/>
  <c r="DR40" i="1"/>
  <c r="DN40" i="1"/>
  <c r="DM40" i="1"/>
  <c r="DL40" i="1"/>
  <c r="DK40" i="1"/>
  <c r="DH40" i="1"/>
  <c r="DG40" i="1"/>
  <c r="DF40" i="1"/>
  <c r="DZ39" i="1"/>
  <c r="DY39" i="1"/>
  <c r="DX39" i="1"/>
  <c r="DW39" i="1"/>
  <c r="DR39" i="1"/>
  <c r="DN39" i="1"/>
  <c r="DM39" i="1"/>
  <c r="DL39" i="1"/>
  <c r="DK39" i="1"/>
  <c r="DH39" i="1"/>
  <c r="DG39" i="1"/>
  <c r="DF39" i="1"/>
  <c r="DZ38" i="1"/>
  <c r="DY38" i="1"/>
  <c r="DX38" i="1"/>
  <c r="DW38" i="1"/>
  <c r="DR38" i="1"/>
  <c r="DN38" i="1"/>
  <c r="DM38" i="1"/>
  <c r="DL38" i="1"/>
  <c r="DK38" i="1"/>
  <c r="DH38" i="1"/>
  <c r="DG38" i="1"/>
  <c r="DF38" i="1"/>
  <c r="DZ37" i="1"/>
  <c r="DY37" i="1"/>
  <c r="DX37" i="1"/>
  <c r="DW37" i="1"/>
  <c r="DR37" i="1"/>
  <c r="DN37" i="1"/>
  <c r="DM37" i="1"/>
  <c r="DL37" i="1"/>
  <c r="DK37" i="1"/>
  <c r="DH37" i="1"/>
  <c r="DG37" i="1"/>
  <c r="DF37" i="1"/>
  <c r="ED36" i="1"/>
  <c r="EC36" i="1"/>
  <c r="EB36" i="1"/>
  <c r="EA36" i="1"/>
  <c r="DZ36" i="1"/>
  <c r="DY36" i="1"/>
  <c r="DX36" i="1"/>
  <c r="DW36" i="1"/>
  <c r="DU36" i="1"/>
  <c r="DT36" i="1"/>
  <c r="DS36" i="1"/>
  <c r="DR36" i="1"/>
  <c r="DQ36" i="1"/>
  <c r="DP36" i="1"/>
  <c r="DO36" i="1"/>
  <c r="DN36" i="1"/>
  <c r="DM36" i="1"/>
  <c r="DL36" i="1"/>
  <c r="DK36" i="1"/>
  <c r="DJ36" i="1"/>
  <c r="DH36" i="1"/>
  <c r="DG36" i="1"/>
  <c r="DF36" i="1"/>
  <c r="DZ35" i="1"/>
  <c r="DY35" i="1"/>
  <c r="DX35" i="1"/>
  <c r="DW35" i="1"/>
  <c r="DR35" i="1"/>
  <c r="DN35" i="1"/>
  <c r="DM35" i="1"/>
  <c r="DL35" i="1"/>
  <c r="DK35" i="1"/>
  <c r="DH35" i="1"/>
  <c r="DG35" i="1"/>
  <c r="DF35" i="1"/>
  <c r="DZ34" i="1"/>
  <c r="DY34" i="1"/>
  <c r="DX34" i="1"/>
  <c r="DW34" i="1"/>
  <c r="DR34" i="1"/>
  <c r="DN34" i="1"/>
  <c r="DM34" i="1"/>
  <c r="DL34" i="1"/>
  <c r="DK34" i="1"/>
  <c r="DH34" i="1"/>
  <c r="DG34" i="1"/>
  <c r="DF34" i="1"/>
  <c r="DZ33" i="1"/>
  <c r="DY33" i="1"/>
  <c r="DX33" i="1"/>
  <c r="DW33" i="1"/>
  <c r="DR33" i="1"/>
  <c r="DN33" i="1"/>
  <c r="DM33" i="1"/>
  <c r="DL33" i="1"/>
  <c r="DK33" i="1"/>
  <c r="DH33" i="1"/>
  <c r="DG33" i="1"/>
  <c r="DF33" i="1"/>
  <c r="DZ32" i="1"/>
  <c r="DY32" i="1"/>
  <c r="DX32" i="1"/>
  <c r="DW32" i="1"/>
  <c r="DR32" i="1"/>
  <c r="DN32" i="1"/>
  <c r="DM32" i="1"/>
  <c r="DL32" i="1"/>
  <c r="DK32" i="1"/>
  <c r="DH32" i="1"/>
  <c r="DG32" i="1"/>
  <c r="DF32" i="1"/>
  <c r="DZ31" i="1"/>
  <c r="DY31" i="1"/>
  <c r="DX31" i="1"/>
  <c r="DW31" i="1"/>
  <c r="DR31" i="1"/>
  <c r="DN31" i="1"/>
  <c r="DM31" i="1"/>
  <c r="DL31" i="1"/>
  <c r="DK31" i="1"/>
  <c r="DH31" i="1"/>
  <c r="DG31" i="1"/>
  <c r="DF31" i="1"/>
  <c r="DR30" i="1"/>
  <c r="DZ29" i="1"/>
  <c r="DY29" i="1"/>
  <c r="DX29" i="1"/>
  <c r="DR29" i="1"/>
  <c r="DN29" i="1"/>
  <c r="DM29" i="1"/>
  <c r="DL29" i="1"/>
  <c r="DK29" i="1"/>
  <c r="DH29" i="1"/>
  <c r="DG29" i="1"/>
  <c r="DF29" i="1"/>
  <c r="DZ28" i="1"/>
  <c r="DY28" i="1"/>
  <c r="DX28" i="1"/>
  <c r="DR28" i="1"/>
  <c r="DN28" i="1"/>
  <c r="DM28" i="1"/>
  <c r="DL28" i="1"/>
  <c r="DK28" i="1"/>
  <c r="DH28" i="1"/>
  <c r="DG28" i="1"/>
  <c r="DF28" i="1"/>
  <c r="DZ27" i="1"/>
  <c r="DY27" i="1"/>
  <c r="DX27" i="1"/>
  <c r="DW27" i="1"/>
  <c r="DR27" i="1"/>
  <c r="DN27" i="1"/>
  <c r="DM27" i="1"/>
  <c r="DL27" i="1"/>
  <c r="DK27" i="1"/>
  <c r="DH27" i="1"/>
  <c r="DG27" i="1"/>
  <c r="DF27" i="1"/>
  <c r="DZ26" i="1"/>
  <c r="DY26" i="1"/>
  <c r="DX26" i="1"/>
  <c r="DW26" i="1"/>
  <c r="DR26" i="1"/>
  <c r="DN26" i="1"/>
  <c r="DM26" i="1"/>
  <c r="DL26" i="1"/>
  <c r="DK26" i="1"/>
  <c r="DH26" i="1"/>
  <c r="DG26" i="1"/>
  <c r="DF26" i="1"/>
  <c r="DZ25" i="1"/>
  <c r="DY25" i="1"/>
  <c r="DX25" i="1"/>
  <c r="DW25" i="1"/>
  <c r="DR25" i="1"/>
  <c r="DN25" i="1"/>
  <c r="DM25" i="1"/>
  <c r="DL25" i="1"/>
  <c r="DK25" i="1"/>
  <c r="DH25" i="1"/>
  <c r="DG25" i="1"/>
  <c r="DF25" i="1"/>
  <c r="DZ24" i="1"/>
  <c r="DY24" i="1"/>
  <c r="DX24" i="1"/>
  <c r="DW24" i="1"/>
  <c r="DR24" i="1"/>
  <c r="DN24" i="1"/>
  <c r="DM24" i="1"/>
  <c r="DL24" i="1"/>
  <c r="DK24" i="1"/>
  <c r="DH24" i="1"/>
  <c r="DG24" i="1"/>
  <c r="DF24" i="1"/>
  <c r="ED23" i="1"/>
  <c r="EC23" i="1"/>
  <c r="EB23" i="1"/>
  <c r="EA23" i="1"/>
  <c r="DZ23" i="1"/>
  <c r="DY23" i="1"/>
  <c r="DX23" i="1"/>
  <c r="DW23" i="1"/>
  <c r="DU23" i="1"/>
  <c r="DT23" i="1"/>
  <c r="DR23" i="1"/>
  <c r="DQ23" i="1"/>
  <c r="DP23" i="1"/>
  <c r="DO23" i="1"/>
  <c r="DN23" i="1"/>
  <c r="DM23" i="1"/>
  <c r="DL23" i="1"/>
  <c r="DK23" i="1"/>
  <c r="DJ23" i="1"/>
  <c r="DH23" i="1"/>
  <c r="DG23" i="1"/>
  <c r="DF23" i="1"/>
  <c r="DZ22" i="1"/>
  <c r="DY22" i="1"/>
  <c r="DX22" i="1"/>
  <c r="DW22" i="1"/>
  <c r="DR22" i="1"/>
  <c r="DN22" i="1"/>
  <c r="DM22" i="1"/>
  <c r="DL22" i="1"/>
  <c r="DK22" i="1"/>
  <c r="DH22" i="1"/>
  <c r="DG22" i="1"/>
  <c r="DF22" i="1"/>
  <c r="DZ21" i="1"/>
  <c r="DY21" i="1"/>
  <c r="DX21" i="1"/>
  <c r="DW21" i="1"/>
  <c r="DR21" i="1"/>
  <c r="DN21" i="1"/>
  <c r="DM21" i="1"/>
  <c r="DL21" i="1"/>
  <c r="DK21" i="1"/>
  <c r="DH21" i="1"/>
  <c r="DG21" i="1"/>
  <c r="DF21" i="1"/>
  <c r="DZ20" i="1"/>
  <c r="DY20" i="1"/>
  <c r="DX20" i="1"/>
  <c r="DW20" i="1"/>
  <c r="DR20" i="1"/>
  <c r="DN20" i="1"/>
  <c r="DM20" i="1"/>
  <c r="DL20" i="1"/>
  <c r="DK20" i="1"/>
  <c r="DH20" i="1"/>
  <c r="DG20" i="1"/>
  <c r="DF20" i="1"/>
  <c r="DZ19" i="1"/>
  <c r="DY19" i="1"/>
  <c r="DX19" i="1"/>
  <c r="DW19" i="1"/>
  <c r="DR19" i="1"/>
  <c r="DN19" i="1"/>
  <c r="DM19" i="1"/>
  <c r="DL19" i="1"/>
  <c r="DK19" i="1"/>
  <c r="DH19" i="1"/>
  <c r="DG19" i="1"/>
  <c r="DF19" i="1"/>
  <c r="DZ18" i="1"/>
  <c r="DY18" i="1"/>
  <c r="DX18" i="1"/>
  <c r="DW18" i="1"/>
  <c r="DR18" i="1"/>
  <c r="DN18" i="1"/>
  <c r="DM18" i="1"/>
  <c r="DL18" i="1"/>
  <c r="DK18" i="1"/>
  <c r="DH18" i="1"/>
  <c r="DG18" i="1"/>
  <c r="DF18" i="1"/>
  <c r="DZ17" i="1"/>
  <c r="DY17" i="1"/>
  <c r="DX17" i="1"/>
  <c r="DW17" i="1"/>
  <c r="DR17" i="1"/>
  <c r="DN17" i="1"/>
  <c r="DM17" i="1"/>
  <c r="DL17" i="1"/>
  <c r="DK17" i="1"/>
  <c r="DH17" i="1"/>
  <c r="DG17" i="1"/>
  <c r="DF17" i="1"/>
  <c r="DR16" i="1"/>
  <c r="DZ15" i="1"/>
  <c r="DY15" i="1"/>
  <c r="DX15" i="1"/>
  <c r="DW15" i="1"/>
  <c r="DR15" i="1"/>
  <c r="DN15" i="1"/>
  <c r="DM15" i="1"/>
  <c r="DL15" i="1"/>
  <c r="DK15" i="1"/>
  <c r="DH15" i="1"/>
  <c r="DG15" i="1"/>
  <c r="DF15" i="1"/>
  <c r="DZ14" i="1"/>
  <c r="DY14" i="1"/>
  <c r="DX14" i="1"/>
  <c r="DW14" i="1"/>
  <c r="DR14" i="1"/>
  <c r="DN14" i="1"/>
  <c r="DM14" i="1"/>
  <c r="DL14" i="1"/>
  <c r="DK14" i="1"/>
  <c r="DH14" i="1"/>
  <c r="DG14" i="1"/>
  <c r="DF14" i="1"/>
  <c r="DZ13" i="1"/>
  <c r="DY13" i="1"/>
  <c r="DX13" i="1"/>
  <c r="DW13" i="1"/>
  <c r="DR13" i="1"/>
  <c r="DN13" i="1"/>
  <c r="DM13" i="1"/>
  <c r="DL13" i="1"/>
  <c r="DK13" i="1"/>
  <c r="DH13" i="1"/>
  <c r="DG13" i="1"/>
  <c r="DF13" i="1"/>
  <c r="DZ12" i="1"/>
  <c r="DY12" i="1"/>
  <c r="DX12" i="1"/>
  <c r="DW12" i="1"/>
  <c r="DR12" i="1"/>
  <c r="DN12" i="1"/>
  <c r="DM12" i="1"/>
  <c r="DL12" i="1"/>
  <c r="DK12" i="1"/>
  <c r="DH12" i="1"/>
  <c r="DG12" i="1"/>
  <c r="DF12" i="1"/>
  <c r="DZ11" i="1"/>
  <c r="DY11" i="1"/>
  <c r="DX11" i="1"/>
  <c r="DR11" i="1"/>
  <c r="DN11" i="1"/>
  <c r="DM11" i="1"/>
  <c r="DL11" i="1"/>
  <c r="DK11" i="1"/>
  <c r="DH11" i="1"/>
  <c r="DG11" i="1"/>
  <c r="DF11" i="1"/>
  <c r="DR10" i="1"/>
  <c r="DZ9" i="1"/>
  <c r="DY9" i="1"/>
  <c r="DX9" i="1"/>
  <c r="DR9" i="1"/>
  <c r="DN9" i="1"/>
  <c r="DM9" i="1"/>
  <c r="DL9" i="1"/>
  <c r="DK9" i="1"/>
  <c r="DH9" i="1"/>
  <c r="DG9" i="1"/>
  <c r="DF9" i="1"/>
  <c r="DZ8" i="1"/>
  <c r="DY8" i="1"/>
  <c r="DX8" i="1"/>
  <c r="DW8" i="1"/>
  <c r="DR8" i="1"/>
  <c r="DN8" i="1"/>
  <c r="DM8" i="1"/>
  <c r="DL8" i="1"/>
  <c r="DK8" i="1"/>
  <c r="DH8" i="1"/>
  <c r="DG8" i="1"/>
  <c r="DF8" i="1"/>
  <c r="DR7" i="1"/>
  <c r="DZ6" i="1"/>
  <c r="DY6" i="1"/>
  <c r="DX6" i="1"/>
  <c r="DW6" i="1"/>
  <c r="DR6" i="1"/>
  <c r="DN6" i="1"/>
  <c r="DM6" i="1"/>
  <c r="DL6" i="1"/>
  <c r="DK6" i="1"/>
  <c r="DH6" i="1"/>
  <c r="DG6" i="1"/>
  <c r="DF6" i="1"/>
  <c r="DZ5" i="1"/>
  <c r="DY5" i="1"/>
  <c r="DX5" i="1"/>
  <c r="DR5" i="1"/>
  <c r="DN5" i="1"/>
  <c r="DM5" i="1"/>
  <c r="DL5" i="1"/>
  <c r="DK5" i="1"/>
  <c r="DH5" i="1"/>
  <c r="DG5" i="1"/>
  <c r="DF5" i="1"/>
  <c r="DY4" i="1"/>
  <c r="DZ4" i="1"/>
  <c r="DX4" i="1"/>
  <c r="DW4" i="1"/>
  <c r="DR4" i="1"/>
  <c r="DN4" i="1"/>
  <c r="DL4" i="1"/>
  <c r="DM4" i="1"/>
  <c r="DK4" i="1"/>
  <c r="DH4" i="1"/>
  <c r="DF4" i="1"/>
  <c r="DG4" i="1"/>
  <c r="BI95" i="1"/>
  <c r="DV95" i="1" s="1"/>
  <c r="BI94" i="1"/>
  <c r="DV94" i="1" s="1"/>
  <c r="BI93" i="1"/>
  <c r="DV93" i="1" s="1"/>
  <c r="BI92" i="1"/>
  <c r="DV92" i="1" s="1"/>
  <c r="BI91" i="1"/>
  <c r="DV91" i="1" s="1"/>
  <c r="BI90" i="1"/>
  <c r="DV90" i="1" s="1"/>
  <c r="BI89" i="1"/>
  <c r="DV89" i="1" s="1"/>
  <c r="BI88" i="1"/>
  <c r="DV88" i="1" s="1"/>
  <c r="BI87" i="1"/>
  <c r="DV87" i="1" s="1"/>
  <c r="BI86" i="1"/>
  <c r="DV86" i="1" s="1"/>
  <c r="BI85" i="1"/>
  <c r="DV85" i="1" s="1"/>
  <c r="BI83" i="1"/>
  <c r="DV83" i="1" s="1"/>
  <c r="BI82" i="1"/>
  <c r="DV82" i="1" s="1"/>
  <c r="BI80" i="1"/>
  <c r="DV80" i="1" s="1"/>
  <c r="BI79" i="1"/>
  <c r="DV79" i="1" s="1"/>
  <c r="BI78" i="1"/>
  <c r="DV78" i="1" s="1"/>
  <c r="BI77" i="1"/>
  <c r="DV77" i="1" s="1"/>
  <c r="BI76" i="1"/>
  <c r="DV76" i="1" s="1"/>
  <c r="BI75" i="1"/>
  <c r="DV75" i="1" s="1"/>
  <c r="BI74" i="1"/>
  <c r="DV74" i="1" s="1"/>
  <c r="BI73" i="1"/>
  <c r="DV73" i="1" s="1"/>
  <c r="BI72" i="1"/>
  <c r="DV72" i="1" s="1"/>
  <c r="BI70" i="1"/>
  <c r="DV70" i="1" s="1"/>
  <c r="BI69" i="1"/>
  <c r="DV69" i="1" s="1"/>
  <c r="BI68" i="1"/>
  <c r="DV68" i="1" s="1"/>
  <c r="BI67" i="1"/>
  <c r="DV67" i="1" s="1"/>
  <c r="BI66" i="1"/>
  <c r="DV66" i="1" s="1"/>
  <c r="BI65" i="1"/>
  <c r="DV65" i="1" s="1"/>
  <c r="BI64" i="1"/>
  <c r="DV64" i="1" s="1"/>
  <c r="BI62" i="1"/>
  <c r="DV62" i="1" s="1"/>
  <c r="BI61" i="1"/>
  <c r="DV61" i="1" s="1"/>
  <c r="BI60" i="1"/>
  <c r="DV60" i="1" s="1"/>
  <c r="BI59" i="1"/>
  <c r="DV59" i="1" s="1"/>
  <c r="BI58" i="1"/>
  <c r="DV58" i="1" s="1"/>
  <c r="BI57" i="1"/>
  <c r="DV57" i="1" s="1"/>
  <c r="BI56" i="1"/>
  <c r="DV56" i="1" s="1"/>
  <c r="BI55" i="1"/>
  <c r="DV55" i="1" s="1"/>
  <c r="BI54" i="1"/>
  <c r="DV54" i="1" s="1"/>
  <c r="BI53" i="1"/>
  <c r="DV53" i="1" s="1"/>
  <c r="BI52" i="1"/>
  <c r="DV52" i="1" s="1"/>
  <c r="BI51" i="1"/>
  <c r="DV51" i="1" s="1"/>
  <c r="BI50" i="1"/>
  <c r="DV50" i="1" s="1"/>
  <c r="BI49" i="1"/>
  <c r="DV49" i="1" s="1"/>
  <c r="BI48" i="1"/>
  <c r="DV48" i="1" s="1"/>
  <c r="BI47" i="1"/>
  <c r="DV47" i="1" s="1"/>
  <c r="BI46" i="1"/>
  <c r="DV46" i="1" s="1"/>
  <c r="BI45" i="1"/>
  <c r="DV45" i="1" s="1"/>
  <c r="BI44" i="1"/>
  <c r="DV44" i="1" s="1"/>
  <c r="BI43" i="1"/>
  <c r="DV43" i="1" s="1"/>
  <c r="BI42" i="1"/>
  <c r="DV42" i="1" s="1"/>
  <c r="BI41" i="1"/>
  <c r="DV41" i="1" s="1"/>
  <c r="BI40" i="1"/>
  <c r="BI39" i="1"/>
  <c r="DV39" i="1" s="1"/>
  <c r="BI38" i="1"/>
  <c r="DV38" i="1" s="1"/>
  <c r="BI37" i="1"/>
  <c r="DV37" i="1" s="1"/>
  <c r="BI36" i="1"/>
  <c r="DV36" i="1" s="1"/>
  <c r="BI35" i="1"/>
  <c r="DV35" i="1" s="1"/>
  <c r="BI34" i="1"/>
  <c r="DV34" i="1" s="1"/>
  <c r="BI33" i="1"/>
  <c r="DV33" i="1" s="1"/>
  <c r="BI32" i="1"/>
  <c r="DV32" i="1" s="1"/>
  <c r="BI31" i="1"/>
  <c r="DV31" i="1" s="1"/>
  <c r="BI29" i="1"/>
  <c r="DV29" i="1" s="1"/>
  <c r="BI28" i="1"/>
  <c r="DV28" i="1" s="1"/>
  <c r="BI27" i="1"/>
  <c r="DV27" i="1" s="1"/>
  <c r="BI26" i="1"/>
  <c r="DV26" i="1" s="1"/>
  <c r="BI25" i="1"/>
  <c r="DV25" i="1" s="1"/>
  <c r="BI24" i="1"/>
  <c r="DV24" i="1" s="1"/>
  <c r="BI23" i="1"/>
  <c r="DV23" i="1" s="1"/>
  <c r="BI22" i="1"/>
  <c r="DV22" i="1" s="1"/>
  <c r="BI21" i="1"/>
  <c r="DV21" i="1" s="1"/>
  <c r="BI20" i="1"/>
  <c r="DV20" i="1" s="1"/>
  <c r="BI19" i="1"/>
  <c r="DV19" i="1" s="1"/>
  <c r="BI18" i="1"/>
  <c r="DV18" i="1" s="1"/>
  <c r="BI17" i="1"/>
  <c r="DV17" i="1" s="1"/>
  <c r="BI15" i="1"/>
  <c r="DV15" i="1" s="1"/>
  <c r="BI14" i="1"/>
  <c r="DV14" i="1" s="1"/>
  <c r="BI13" i="1"/>
  <c r="DV13" i="1" s="1"/>
  <c r="BI12" i="1"/>
  <c r="DV12" i="1" s="1"/>
  <c r="BI11" i="1"/>
  <c r="DV11" i="1" s="1"/>
  <c r="BI9" i="1"/>
  <c r="DV9" i="1" s="1"/>
  <c r="BI8" i="1"/>
  <c r="DV8" i="1" s="1"/>
  <c r="BI6" i="1"/>
  <c r="DV6" i="1" s="1"/>
  <c r="BI5" i="1"/>
  <c r="DV5" i="1" s="1"/>
  <c r="BI4" i="1"/>
  <c r="DV4" i="1" s="1"/>
  <c r="L7" i="14" l="1"/>
  <c r="T7" i="14"/>
  <c r="B7" i="14"/>
  <c r="A7" i="14"/>
  <c r="A6" i="12"/>
  <c r="B6" i="12"/>
  <c r="AR7" i="1"/>
  <c r="EG7" i="1" s="1"/>
  <c r="A5" i="6"/>
  <c r="B5" i="6"/>
  <c r="O59" i="7"/>
  <c r="B72" i="7"/>
  <c r="B71" i="7"/>
  <c r="B70" i="7"/>
  <c r="B69" i="7"/>
  <c r="B68" i="7"/>
  <c r="B67" i="7"/>
  <c r="B66" i="7"/>
  <c r="B65" i="7"/>
  <c r="B64" i="7"/>
  <c r="B63" i="7"/>
  <c r="B62" i="7"/>
  <c r="B61" i="7"/>
  <c r="B60" i="7"/>
  <c r="B59" i="7"/>
  <c r="B58" i="7"/>
  <c r="B57" i="7"/>
  <c r="B56" i="7"/>
  <c r="I4" i="7"/>
  <c r="B55" i="7"/>
  <c r="B54" i="7"/>
  <c r="B53" i="7"/>
  <c r="B52" i="7"/>
  <c r="B51" i="7"/>
  <c r="B50" i="7"/>
  <c r="B49" i="7"/>
  <c r="B48" i="7"/>
  <c r="B47" i="7"/>
  <c r="B46" i="7"/>
  <c r="B45" i="7"/>
  <c r="B44" i="7"/>
  <c r="B43" i="7"/>
  <c r="B42" i="7"/>
  <c r="B41" i="7"/>
  <c r="B40" i="7"/>
  <c r="B39" i="7"/>
  <c r="B38" i="7"/>
  <c r="B37" i="7"/>
  <c r="B36" i="7"/>
  <c r="B35" i="7"/>
  <c r="B34" i="7"/>
  <c r="B33" i="7"/>
  <c r="B32" i="7"/>
  <c r="B31" i="7"/>
  <c r="B30" i="7"/>
  <c r="B29" i="7"/>
  <c r="B28" i="7"/>
  <c r="B27" i="7"/>
  <c r="B26" i="7"/>
  <c r="B25" i="7"/>
  <c r="B24" i="7"/>
  <c r="B23" i="7"/>
  <c r="B22" i="7"/>
  <c r="B21" i="7"/>
  <c r="B20" i="7"/>
  <c r="B19" i="7"/>
  <c r="B18" i="7"/>
  <c r="B17" i="7"/>
  <c r="B16" i="7"/>
  <c r="B15" i="7"/>
  <c r="B14" i="7"/>
  <c r="B13" i="7"/>
  <c r="B12" i="7"/>
  <c r="B11" i="7"/>
  <c r="B10" i="7"/>
  <c r="B9" i="7"/>
  <c r="B8" i="7"/>
  <c r="B7" i="7"/>
  <c r="B6" i="7"/>
  <c r="B5" i="7"/>
  <c r="B4" i="7"/>
  <c r="I23" i="7"/>
  <c r="I22" i="7"/>
  <c r="I21" i="7"/>
  <c r="I20" i="7"/>
  <c r="I19" i="7"/>
  <c r="I18" i="7"/>
  <c r="I17" i="7"/>
  <c r="I16" i="7"/>
  <c r="I15" i="7"/>
  <c r="I13" i="7"/>
  <c r="I14" i="7"/>
  <c r="I10" i="7"/>
  <c r="I9" i="7"/>
  <c r="I12" i="7"/>
  <c r="I11" i="7"/>
  <c r="I8" i="7"/>
  <c r="I7" i="7"/>
  <c r="I6" i="7"/>
  <c r="I5" i="7"/>
  <c r="H10" i="7"/>
  <c r="AU7" i="1"/>
  <c r="BR7" i="1"/>
  <c r="G6" i="12" s="1"/>
  <c r="BK16" i="1"/>
  <c r="DW16" i="1" s="1"/>
  <c r="BJ16" i="1"/>
  <c r="BI16" i="1" s="1"/>
  <c r="DV16" i="1" s="1"/>
  <c r="BK63" i="1"/>
  <c r="DW63" i="1" s="1"/>
  <c r="BJ63" i="1"/>
  <c r="BI63" i="1" s="1"/>
  <c r="DV63" i="1" s="1"/>
  <c r="BK96" i="1"/>
  <c r="DW96" i="1" s="1"/>
  <c r="BJ96" i="1"/>
  <c r="BI96" i="1" s="1"/>
  <c r="DV96" i="1" s="1"/>
  <c r="BK84" i="1"/>
  <c r="DW84" i="1" s="1"/>
  <c r="BJ84" i="1"/>
  <c r="BI84" i="1" s="1"/>
  <c r="DV84" i="1" s="1"/>
  <c r="BK81" i="1"/>
  <c r="DW81" i="1" s="1"/>
  <c r="BJ81" i="1"/>
  <c r="BI81" i="1" s="1"/>
  <c r="DV81" i="1" s="1"/>
  <c r="BK71" i="1"/>
  <c r="DW71" i="1" s="1"/>
  <c r="BJ71" i="1"/>
  <c r="BI71" i="1" s="1"/>
  <c r="DV71" i="1" s="1"/>
  <c r="BJ30" i="1"/>
  <c r="BI30" i="1" s="1"/>
  <c r="DV30" i="1" s="1"/>
  <c r="BJ10" i="1"/>
  <c r="BI10" i="1" s="1"/>
  <c r="DV10" i="1" s="1"/>
  <c r="BJ7" i="1"/>
  <c r="BI7" i="1" s="1"/>
  <c r="DV7" i="1" s="1"/>
  <c r="CU7" i="1" l="1"/>
  <c r="CT7" i="1"/>
  <c r="BC11" i="1"/>
  <c r="BB7" i="1"/>
  <c r="AZ7" i="1"/>
  <c r="AY7" i="1"/>
  <c r="AX7" i="1"/>
  <c r="AW7" i="1"/>
  <c r="AV7" i="1"/>
  <c r="BB16" i="1"/>
  <c r="BB63" i="1"/>
  <c r="BB84" i="1"/>
  <c r="BB81" i="1"/>
  <c r="BB71" i="1"/>
  <c r="BB30" i="1"/>
  <c r="BB10" i="1"/>
  <c r="AT7" i="1"/>
  <c r="AZ16" i="1"/>
  <c r="AY16" i="1"/>
  <c r="AX16" i="1"/>
  <c r="AW16" i="1"/>
  <c r="AV16" i="1"/>
  <c r="AU16" i="1"/>
  <c r="AT16" i="1"/>
  <c r="DF16" i="1" s="1"/>
  <c r="AZ63" i="1"/>
  <c r="AY63" i="1"/>
  <c r="AX63" i="1"/>
  <c r="AW63" i="1"/>
  <c r="AV63" i="1"/>
  <c r="AU63" i="1"/>
  <c r="AT63" i="1"/>
  <c r="DF63" i="1" s="1"/>
  <c r="AZ84" i="1"/>
  <c r="AY84" i="1"/>
  <c r="AX84" i="1"/>
  <c r="AW84" i="1"/>
  <c r="AV84" i="1"/>
  <c r="AU84" i="1"/>
  <c r="AT84" i="1"/>
  <c r="DF84" i="1" s="1"/>
  <c r="AZ81" i="1"/>
  <c r="AY81" i="1"/>
  <c r="AX81" i="1"/>
  <c r="AW81" i="1"/>
  <c r="AV81" i="1"/>
  <c r="AU81" i="1"/>
  <c r="AT81" i="1"/>
  <c r="DF81" i="1" s="1"/>
  <c r="AZ71" i="1"/>
  <c r="AY71" i="1"/>
  <c r="AX71" i="1"/>
  <c r="AW71" i="1"/>
  <c r="AV71" i="1"/>
  <c r="AU71" i="1"/>
  <c r="AT71" i="1"/>
  <c r="DF71" i="1" s="1"/>
  <c r="AZ30" i="1"/>
  <c r="AY30" i="1"/>
  <c r="AX30" i="1"/>
  <c r="AW30" i="1"/>
  <c r="AV30" i="1"/>
  <c r="AU30" i="1"/>
  <c r="AT30" i="1"/>
  <c r="DF30" i="1" s="1"/>
  <c r="AT10" i="1"/>
  <c r="DF10" i="1" s="1"/>
  <c r="M30" i="1"/>
  <c r="DM30" i="1" s="1"/>
  <c r="M71" i="1"/>
  <c r="DM71" i="1" s="1"/>
  <c r="M81" i="1"/>
  <c r="M96" i="1"/>
  <c r="DM96" i="1" s="1"/>
  <c r="M63" i="1"/>
  <c r="DM63" i="1" s="1"/>
  <c r="M16" i="1"/>
  <c r="DM16" i="1" s="1"/>
  <c r="AH7" i="1"/>
  <c r="AI7" i="1" s="1"/>
  <c r="S7" i="1"/>
  <c r="M7" i="1"/>
  <c r="G7" i="1"/>
  <c r="DH7" i="1" s="1"/>
  <c r="F7" i="1"/>
  <c r="AW10" i="1"/>
  <c r="R7" i="1" l="1"/>
  <c r="DQ7" i="1" s="1"/>
  <c r="AQ7" i="1"/>
  <c r="EF7" i="1" s="1"/>
  <c r="D5" i="6"/>
  <c r="DF7" i="1"/>
  <c r="J7" i="1"/>
  <c r="DN7" i="1" s="1"/>
  <c r="DG7" i="1"/>
  <c r="BQ7" i="1"/>
  <c r="CN7" i="1" s="1"/>
  <c r="DM7" i="1"/>
  <c r="M84" i="1"/>
  <c r="DM84" i="1" s="1"/>
  <c r="DM81" i="1"/>
  <c r="BC7" i="1"/>
  <c r="BE7" i="1" s="1"/>
  <c r="BO7" i="1"/>
  <c r="C5" i="6"/>
  <c r="W7" i="1"/>
  <c r="AL7" i="1"/>
  <c r="EJ7" i="1" s="1"/>
  <c r="AK7" i="1"/>
  <c r="EI7" i="1" s="1"/>
  <c r="AJ7" i="1"/>
  <c r="EH7" i="1" s="1"/>
  <c r="AO7" i="1"/>
  <c r="DY7" i="1" s="1"/>
  <c r="K7" i="1"/>
  <c r="E6" i="12" s="1"/>
  <c r="AN7" i="1"/>
  <c r="DX7" i="1" s="1"/>
  <c r="L7" i="1"/>
  <c r="DL7" i="1" s="1"/>
  <c r="M10" i="1"/>
  <c r="DM10" i="1" s="1"/>
  <c r="H7" i="1"/>
  <c r="AM7" i="1"/>
  <c r="AP7" i="1"/>
  <c r="DZ7" i="1" s="1"/>
  <c r="T7" i="1"/>
  <c r="DP7" i="1" s="1"/>
  <c r="V7" i="1"/>
  <c r="V2" i="14"/>
  <c r="A26" i="14"/>
  <c r="T2" i="14"/>
  <c r="T4" i="14"/>
  <c r="T5" i="14"/>
  <c r="T6" i="14"/>
  <c r="T8" i="14"/>
  <c r="T9" i="14"/>
  <c r="T10" i="14"/>
  <c r="T11" i="14"/>
  <c r="T12" i="14"/>
  <c r="T13" i="14"/>
  <c r="T14" i="14"/>
  <c r="T15" i="14"/>
  <c r="T16" i="14"/>
  <c r="T17" i="14"/>
  <c r="T18" i="14"/>
  <c r="T19" i="14"/>
  <c r="T20" i="14"/>
  <c r="T21" i="14"/>
  <c r="T22" i="14"/>
  <c r="T23" i="14"/>
  <c r="T24" i="14"/>
  <c r="T25" i="14"/>
  <c r="T26" i="14"/>
  <c r="T27" i="14"/>
  <c r="T28" i="14"/>
  <c r="T29" i="14"/>
  <c r="T30" i="14"/>
  <c r="T31" i="14"/>
  <c r="T32" i="14"/>
  <c r="T33" i="14"/>
  <c r="T34" i="14"/>
  <c r="T35" i="14"/>
  <c r="T36" i="14"/>
  <c r="T37" i="14"/>
  <c r="T38" i="14"/>
  <c r="T39" i="14"/>
  <c r="T40" i="14"/>
  <c r="T41" i="14"/>
  <c r="T42" i="14"/>
  <c r="T43" i="14"/>
  <c r="T44" i="14"/>
  <c r="T45" i="14"/>
  <c r="T46" i="14"/>
  <c r="T47" i="14"/>
  <c r="T48" i="14"/>
  <c r="T49" i="14"/>
  <c r="T50" i="14"/>
  <c r="T51" i="14"/>
  <c r="T52" i="14"/>
  <c r="T53" i="14"/>
  <c r="T54" i="14"/>
  <c r="T55" i="14"/>
  <c r="T56" i="14"/>
  <c r="T57" i="14"/>
  <c r="T58" i="14"/>
  <c r="T59" i="14"/>
  <c r="T60" i="14"/>
  <c r="T61" i="14"/>
  <c r="T62" i="14"/>
  <c r="T63" i="14"/>
  <c r="T64" i="14"/>
  <c r="T65" i="14"/>
  <c r="T66" i="14"/>
  <c r="T67" i="14"/>
  <c r="T68" i="14"/>
  <c r="T69" i="14"/>
  <c r="T70" i="14"/>
  <c r="T71" i="14"/>
  <c r="T72" i="14"/>
  <c r="T73" i="14"/>
  <c r="T74" i="14"/>
  <c r="T75" i="14"/>
  <c r="T76" i="14"/>
  <c r="T77" i="14"/>
  <c r="T78" i="14"/>
  <c r="T79" i="14"/>
  <c r="T80" i="14"/>
  <c r="T81" i="14"/>
  <c r="T82" i="14"/>
  <c r="T83" i="14"/>
  <c r="T84" i="14"/>
  <c r="T85" i="14"/>
  <c r="T86" i="14"/>
  <c r="T87" i="14"/>
  <c r="T88" i="14"/>
  <c r="T89" i="14"/>
  <c r="T90" i="14"/>
  <c r="T91" i="14"/>
  <c r="T92" i="14"/>
  <c r="L92" i="14"/>
  <c r="K92" i="14"/>
  <c r="L91" i="14"/>
  <c r="K91" i="14"/>
  <c r="L90" i="14"/>
  <c r="K90" i="14"/>
  <c r="L89" i="14"/>
  <c r="K89" i="14"/>
  <c r="L88" i="14"/>
  <c r="K88" i="14"/>
  <c r="L87" i="14"/>
  <c r="K87" i="14"/>
  <c r="L86" i="14"/>
  <c r="K86" i="14"/>
  <c r="L85" i="14"/>
  <c r="K85" i="14"/>
  <c r="L84" i="14"/>
  <c r="K84" i="14"/>
  <c r="L83" i="14"/>
  <c r="K83" i="14"/>
  <c r="L82" i="14"/>
  <c r="K82" i="14"/>
  <c r="L81" i="14"/>
  <c r="K81" i="14"/>
  <c r="L80" i="14"/>
  <c r="K80" i="14"/>
  <c r="L79" i="14"/>
  <c r="K79" i="14"/>
  <c r="L78" i="14"/>
  <c r="K78" i="14"/>
  <c r="L77" i="14"/>
  <c r="K77" i="14"/>
  <c r="L76" i="14"/>
  <c r="K76" i="14"/>
  <c r="L75" i="14"/>
  <c r="K75" i="14"/>
  <c r="L74" i="14"/>
  <c r="K74" i="14"/>
  <c r="L73" i="14"/>
  <c r="K73" i="14"/>
  <c r="L72" i="14"/>
  <c r="K72" i="14"/>
  <c r="L71" i="14"/>
  <c r="K71" i="14"/>
  <c r="L70" i="14"/>
  <c r="K70" i="14"/>
  <c r="L69" i="14"/>
  <c r="K69" i="14"/>
  <c r="L68" i="14"/>
  <c r="K68" i="14"/>
  <c r="L67" i="14"/>
  <c r="K67" i="14"/>
  <c r="L66" i="14"/>
  <c r="K66" i="14"/>
  <c r="L65" i="14"/>
  <c r="K65" i="14"/>
  <c r="L64" i="14"/>
  <c r="K64" i="14"/>
  <c r="L63" i="14"/>
  <c r="K63" i="14"/>
  <c r="L62" i="14"/>
  <c r="K62" i="14"/>
  <c r="L61" i="14"/>
  <c r="K61" i="14"/>
  <c r="L60" i="14"/>
  <c r="K60" i="14"/>
  <c r="L59" i="14"/>
  <c r="K59" i="14"/>
  <c r="L58" i="14"/>
  <c r="K58" i="14"/>
  <c r="L57" i="14"/>
  <c r="K57" i="14"/>
  <c r="L56" i="14"/>
  <c r="K56" i="14"/>
  <c r="L55" i="14"/>
  <c r="K55" i="14"/>
  <c r="L54" i="14"/>
  <c r="K54" i="14"/>
  <c r="L53" i="14"/>
  <c r="K53" i="14"/>
  <c r="L52" i="14"/>
  <c r="K52" i="14"/>
  <c r="L51" i="14"/>
  <c r="K51" i="14"/>
  <c r="L50" i="14"/>
  <c r="K50" i="14"/>
  <c r="L49" i="14"/>
  <c r="K49" i="14"/>
  <c r="L48" i="14"/>
  <c r="K48" i="14"/>
  <c r="L47" i="14"/>
  <c r="K47" i="14"/>
  <c r="L46" i="14"/>
  <c r="K46" i="14"/>
  <c r="L45" i="14"/>
  <c r="K45" i="14"/>
  <c r="L44" i="14"/>
  <c r="K44" i="14"/>
  <c r="L43" i="14"/>
  <c r="K43" i="14"/>
  <c r="L42" i="14"/>
  <c r="K42" i="14"/>
  <c r="L41" i="14"/>
  <c r="K41" i="14"/>
  <c r="L40" i="14"/>
  <c r="K40" i="14"/>
  <c r="L39" i="14"/>
  <c r="K39" i="14"/>
  <c r="L38" i="14"/>
  <c r="K38" i="14"/>
  <c r="L37" i="14"/>
  <c r="K37" i="14"/>
  <c r="L36" i="14"/>
  <c r="K36" i="14"/>
  <c r="L35" i="14"/>
  <c r="K35" i="14"/>
  <c r="L34" i="14"/>
  <c r="K3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11" i="14"/>
  <c r="L10" i="14"/>
  <c r="K10" i="14"/>
  <c r="L9" i="14"/>
  <c r="K9" i="14"/>
  <c r="L8" i="14"/>
  <c r="K8" i="14"/>
  <c r="L6" i="14"/>
  <c r="K6" i="14"/>
  <c r="L5" i="14"/>
  <c r="K5" i="14"/>
  <c r="L4" i="14"/>
  <c r="K4" i="14"/>
  <c r="B92" i="14"/>
  <c r="B91" i="14"/>
  <c r="B90" i="14"/>
  <c r="B89" i="14"/>
  <c r="B88" i="14"/>
  <c r="B87" i="14"/>
  <c r="B86" i="14"/>
  <c r="B85" i="14"/>
  <c r="B84" i="14"/>
  <c r="B83" i="14"/>
  <c r="B82" i="14"/>
  <c r="B81" i="14"/>
  <c r="B80" i="14"/>
  <c r="B79" i="14"/>
  <c r="B78" i="14"/>
  <c r="B77" i="14"/>
  <c r="B76" i="14"/>
  <c r="B75" i="14"/>
  <c r="B74" i="14"/>
  <c r="B73" i="14"/>
  <c r="B72" i="14"/>
  <c r="B71" i="14"/>
  <c r="B70" i="14"/>
  <c r="B69" i="14"/>
  <c r="B68" i="14"/>
  <c r="B67" i="14"/>
  <c r="B66" i="14"/>
  <c r="B65" i="14"/>
  <c r="B64" i="14"/>
  <c r="B63" i="14"/>
  <c r="B62" i="14"/>
  <c r="B61" i="14"/>
  <c r="B60" i="14"/>
  <c r="B59" i="14"/>
  <c r="B58" i="14"/>
  <c r="B57" i="14"/>
  <c r="B56" i="14"/>
  <c r="B55" i="14"/>
  <c r="B54" i="14"/>
  <c r="B53" i="14"/>
  <c r="B52" i="14"/>
  <c r="B51" i="14"/>
  <c r="B50" i="14"/>
  <c r="B49" i="14"/>
  <c r="B48" i="14"/>
  <c r="B47" i="14"/>
  <c r="B46" i="14"/>
  <c r="B45" i="14"/>
  <c r="B44" i="14"/>
  <c r="B43" i="14"/>
  <c r="B42" i="14"/>
  <c r="B41" i="14"/>
  <c r="B40" i="14"/>
  <c r="B39" i="14"/>
  <c r="B38" i="14"/>
  <c r="B37" i="14"/>
  <c r="B36" i="14"/>
  <c r="B35" i="14"/>
  <c r="B34" i="14"/>
  <c r="B33" i="14"/>
  <c r="B32" i="14"/>
  <c r="B31" i="14"/>
  <c r="B30" i="14"/>
  <c r="B29" i="14"/>
  <c r="B28" i="14"/>
  <c r="B27" i="14"/>
  <c r="B26" i="14"/>
  <c r="B25" i="14"/>
  <c r="B24" i="14"/>
  <c r="B23" i="14"/>
  <c r="B22" i="14"/>
  <c r="B21" i="14"/>
  <c r="B20" i="14"/>
  <c r="B19" i="14"/>
  <c r="B18" i="14"/>
  <c r="B17" i="14"/>
  <c r="B16" i="14"/>
  <c r="B15" i="14"/>
  <c r="B14" i="14"/>
  <c r="B13" i="14"/>
  <c r="B12" i="14"/>
  <c r="B11" i="14"/>
  <c r="B10" i="14"/>
  <c r="B9" i="14"/>
  <c r="B8" i="14"/>
  <c r="B6" i="14"/>
  <c r="B5" i="14"/>
  <c r="B4" i="14"/>
  <c r="A92" i="14"/>
  <c r="A91" i="14"/>
  <c r="A90" i="14"/>
  <c r="A89" i="14"/>
  <c r="A88" i="14"/>
  <c r="A87" i="14"/>
  <c r="A86" i="14"/>
  <c r="A85" i="14"/>
  <c r="A84" i="14"/>
  <c r="A83" i="14"/>
  <c r="A82" i="14"/>
  <c r="A81" i="14"/>
  <c r="A80" i="14"/>
  <c r="A79" i="14"/>
  <c r="A78" i="14"/>
  <c r="A77" i="14"/>
  <c r="A76" i="14"/>
  <c r="A75" i="14"/>
  <c r="A74" i="14"/>
  <c r="A73" i="14"/>
  <c r="A72" i="14"/>
  <c r="A71" i="14"/>
  <c r="A70" i="14"/>
  <c r="A69" i="14"/>
  <c r="A68" i="14"/>
  <c r="A67" i="14"/>
  <c r="A66" i="14"/>
  <c r="A65" i="14"/>
  <c r="A64" i="14"/>
  <c r="A63" i="14"/>
  <c r="A62" i="14"/>
  <c r="A61" i="14"/>
  <c r="A60" i="14"/>
  <c r="A59" i="14"/>
  <c r="A58" i="14"/>
  <c r="A57" i="14"/>
  <c r="A56" i="14"/>
  <c r="A55" i="14"/>
  <c r="A54" i="14"/>
  <c r="A53" i="14"/>
  <c r="A52" i="14"/>
  <c r="A51" i="14"/>
  <c r="A50" i="14"/>
  <c r="A49" i="14"/>
  <c r="A48" i="14"/>
  <c r="A47" i="14"/>
  <c r="A46" i="14"/>
  <c r="A45" i="14"/>
  <c r="A44" i="14"/>
  <c r="A43" i="14"/>
  <c r="A42" i="14"/>
  <c r="A41" i="14"/>
  <c r="A40" i="14"/>
  <c r="A39" i="14"/>
  <c r="A38" i="14"/>
  <c r="A37" i="14"/>
  <c r="A36" i="14"/>
  <c r="A35" i="14"/>
  <c r="A34" i="14"/>
  <c r="A33" i="14"/>
  <c r="A32" i="14"/>
  <c r="A31" i="14"/>
  <c r="A30" i="14"/>
  <c r="A29" i="14"/>
  <c r="A28" i="14"/>
  <c r="A27" i="14"/>
  <c r="A25" i="14"/>
  <c r="A24" i="14"/>
  <c r="A23" i="14"/>
  <c r="A22" i="14"/>
  <c r="A21" i="14"/>
  <c r="A20" i="14"/>
  <c r="A19" i="14"/>
  <c r="A18" i="14"/>
  <c r="A17" i="14"/>
  <c r="A16" i="14"/>
  <c r="A15" i="14"/>
  <c r="A14" i="14"/>
  <c r="A13" i="14"/>
  <c r="A12" i="14"/>
  <c r="A11" i="14"/>
  <c r="A10" i="14"/>
  <c r="A9" i="14"/>
  <c r="A8" i="14"/>
  <c r="A6" i="14"/>
  <c r="A5" i="14"/>
  <c r="A4" i="14"/>
  <c r="F6" i="12" l="1"/>
  <c r="CO7" i="1"/>
  <c r="I7" i="1"/>
  <c r="DI7" i="1"/>
  <c r="BG7" i="1"/>
  <c r="EC7" i="1" s="1"/>
  <c r="EA7" i="1"/>
  <c r="DK7" i="1"/>
  <c r="N7" i="1"/>
  <c r="BD7" i="1"/>
  <c r="BF7" i="1" s="1"/>
  <c r="EB7" i="1" s="1"/>
  <c r="BU7" i="1"/>
  <c r="L10" i="7"/>
  <c r="X7" i="1"/>
  <c r="H5" i="6" s="1"/>
  <c r="G5" i="6"/>
  <c r="C6" i="12"/>
  <c r="CP7" i="1"/>
  <c r="CQ7" i="1"/>
  <c r="U4" i="14"/>
  <c r="U3" i="14"/>
  <c r="BP7" i="1" l="1"/>
  <c r="DJ7" i="1"/>
  <c r="AD7" i="1"/>
  <c r="DO7" i="1"/>
  <c r="Y7" i="1"/>
  <c r="J6" i="12"/>
  <c r="DA7" i="1"/>
  <c r="V7" i="14" s="1"/>
  <c r="S7" i="14" s="1"/>
  <c r="U5" i="14"/>
  <c r="C79" i="13"/>
  <c r="B79" i="13"/>
  <c r="C88" i="13"/>
  <c r="B88" i="13"/>
  <c r="P89" i="13"/>
  <c r="O89" i="13"/>
  <c r="P84" i="13"/>
  <c r="O84" i="13"/>
  <c r="P83" i="13"/>
  <c r="O83" i="13"/>
  <c r="P82" i="13"/>
  <c r="O82" i="13"/>
  <c r="P81" i="13"/>
  <c r="O81" i="13"/>
  <c r="P80" i="13"/>
  <c r="O80" i="13"/>
  <c r="P32" i="13"/>
  <c r="O32" i="13"/>
  <c r="C89" i="13"/>
  <c r="P88" i="13"/>
  <c r="P87" i="13"/>
  <c r="P86" i="13"/>
  <c r="P85" i="13"/>
  <c r="C84" i="13"/>
  <c r="C83" i="13"/>
  <c r="C82" i="13"/>
  <c r="C81" i="13"/>
  <c r="C80" i="13"/>
  <c r="P79" i="13"/>
  <c r="P78" i="13"/>
  <c r="P77" i="13"/>
  <c r="P76" i="13"/>
  <c r="C75" i="13"/>
  <c r="C74" i="13"/>
  <c r="C73" i="13"/>
  <c r="C72" i="13"/>
  <c r="C71" i="13"/>
  <c r="C70" i="13"/>
  <c r="C69" i="13"/>
  <c r="P68" i="13"/>
  <c r="P67" i="13"/>
  <c r="P66" i="13"/>
  <c r="C65" i="13"/>
  <c r="C64" i="13"/>
  <c r="C63" i="13"/>
  <c r="C62" i="13"/>
  <c r="C61" i="13"/>
  <c r="C60" i="13"/>
  <c r="C59" i="13"/>
  <c r="C58" i="13"/>
  <c r="C57" i="13"/>
  <c r="C56" i="13"/>
  <c r="C55" i="13"/>
  <c r="C54" i="13"/>
  <c r="C53" i="13"/>
  <c r="C52" i="13"/>
  <c r="C51" i="13"/>
  <c r="C50" i="13"/>
  <c r="C49" i="13"/>
  <c r="C48" i="13"/>
  <c r="C47" i="13"/>
  <c r="C46" i="13"/>
  <c r="P45" i="13"/>
  <c r="P44" i="13"/>
  <c r="C43" i="13"/>
  <c r="C42" i="13"/>
  <c r="C41" i="13"/>
  <c r="C40" i="13"/>
  <c r="C39" i="13"/>
  <c r="C38" i="13"/>
  <c r="P37" i="13"/>
  <c r="P36" i="13"/>
  <c r="C35" i="13"/>
  <c r="C34" i="13"/>
  <c r="C33" i="13"/>
  <c r="C32" i="13"/>
  <c r="C31" i="13"/>
  <c r="C30" i="13"/>
  <c r="C29" i="13"/>
  <c r="C28" i="13"/>
  <c r="C27" i="13"/>
  <c r="C26" i="13"/>
  <c r="C25" i="13"/>
  <c r="C24" i="13"/>
  <c r="P23" i="13"/>
  <c r="P22" i="13"/>
  <c r="C21" i="13"/>
  <c r="C20" i="13"/>
  <c r="C19" i="13"/>
  <c r="C18" i="13"/>
  <c r="P17" i="13"/>
  <c r="C16" i="13"/>
  <c r="C15" i="13"/>
  <c r="C14" i="13"/>
  <c r="C13" i="13"/>
  <c r="P12" i="13"/>
  <c r="C11" i="13"/>
  <c r="C10" i="13"/>
  <c r="C9" i="13"/>
  <c r="C8" i="13"/>
  <c r="P7" i="13"/>
  <c r="C6" i="13"/>
  <c r="C5" i="13"/>
  <c r="C4" i="13"/>
  <c r="C3" i="13"/>
  <c r="C2" i="13"/>
  <c r="B89" i="13"/>
  <c r="O88" i="13"/>
  <c r="O87" i="13"/>
  <c r="O86" i="13"/>
  <c r="O85" i="13"/>
  <c r="B84" i="13"/>
  <c r="B83" i="13"/>
  <c r="B82" i="13"/>
  <c r="B81" i="13"/>
  <c r="B80" i="13"/>
  <c r="O79" i="13"/>
  <c r="O78" i="13"/>
  <c r="O77" i="13"/>
  <c r="O76" i="13"/>
  <c r="B75" i="13"/>
  <c r="B74" i="13"/>
  <c r="B73" i="13"/>
  <c r="B72" i="13"/>
  <c r="B71" i="13"/>
  <c r="B70" i="13"/>
  <c r="B69" i="13"/>
  <c r="O68" i="13"/>
  <c r="O67" i="13"/>
  <c r="O66" i="13"/>
  <c r="B65" i="13"/>
  <c r="B64" i="13"/>
  <c r="B63" i="13"/>
  <c r="B62" i="13"/>
  <c r="B61" i="13"/>
  <c r="B60" i="13"/>
  <c r="B59" i="13"/>
  <c r="B58" i="13"/>
  <c r="B57" i="13"/>
  <c r="B56" i="13"/>
  <c r="B55" i="13"/>
  <c r="B54" i="13"/>
  <c r="B53" i="13"/>
  <c r="B52" i="13"/>
  <c r="B51" i="13"/>
  <c r="B50" i="13"/>
  <c r="B49" i="13"/>
  <c r="B48" i="13"/>
  <c r="B47" i="13"/>
  <c r="B46" i="13"/>
  <c r="O45" i="13"/>
  <c r="O44" i="13"/>
  <c r="B43" i="13"/>
  <c r="B42" i="13"/>
  <c r="B41" i="13"/>
  <c r="B40" i="13"/>
  <c r="B39" i="13"/>
  <c r="B38" i="13"/>
  <c r="O37" i="13"/>
  <c r="O36" i="13"/>
  <c r="B35" i="13"/>
  <c r="B34" i="13"/>
  <c r="B33" i="13"/>
  <c r="B32" i="13"/>
  <c r="B31" i="13"/>
  <c r="B30" i="13"/>
  <c r="B29" i="13"/>
  <c r="B28" i="13"/>
  <c r="B27" i="13"/>
  <c r="B26" i="13"/>
  <c r="B25" i="13"/>
  <c r="B24" i="13"/>
  <c r="O23" i="13"/>
  <c r="O22" i="13"/>
  <c r="B21" i="13"/>
  <c r="B20" i="13"/>
  <c r="B19" i="13"/>
  <c r="B18" i="13"/>
  <c r="O17" i="13"/>
  <c r="B16" i="13"/>
  <c r="B15" i="13"/>
  <c r="B14" i="13"/>
  <c r="B13" i="13"/>
  <c r="O12" i="13"/>
  <c r="B11" i="13"/>
  <c r="B10" i="13"/>
  <c r="B9" i="13"/>
  <c r="B8" i="13"/>
  <c r="O7" i="13"/>
  <c r="B6" i="13"/>
  <c r="B5" i="13"/>
  <c r="B4" i="13"/>
  <c r="B3" i="13"/>
  <c r="B2" i="13"/>
  <c r="CR7" i="1" l="1"/>
  <c r="CS7" i="1"/>
  <c r="D6" i="12"/>
  <c r="I5" i="6"/>
  <c r="DU7" i="1"/>
  <c r="B91" i="12"/>
  <c r="A91" i="12"/>
  <c r="B90" i="12"/>
  <c r="A90" i="12"/>
  <c r="B89" i="12"/>
  <c r="A89" i="12"/>
  <c r="B88" i="12"/>
  <c r="A88" i="12"/>
  <c r="B87" i="12"/>
  <c r="A87" i="12"/>
  <c r="B86" i="12"/>
  <c r="A86" i="12"/>
  <c r="B85" i="12"/>
  <c r="A85" i="12"/>
  <c r="B84" i="12"/>
  <c r="A84" i="12"/>
  <c r="B83" i="12"/>
  <c r="A83" i="12"/>
  <c r="B82" i="12"/>
  <c r="A82" i="12"/>
  <c r="B81" i="12"/>
  <c r="A81" i="12"/>
  <c r="B80" i="12"/>
  <c r="A80" i="12"/>
  <c r="B79" i="12"/>
  <c r="A79" i="12"/>
  <c r="B78" i="12"/>
  <c r="A78" i="12"/>
  <c r="B77" i="12"/>
  <c r="A77" i="12"/>
  <c r="B76" i="12"/>
  <c r="A76" i="12"/>
  <c r="B75" i="12"/>
  <c r="A75" i="12"/>
  <c r="B74" i="12"/>
  <c r="A74" i="12"/>
  <c r="B73" i="12"/>
  <c r="A73" i="12"/>
  <c r="B72" i="12"/>
  <c r="A72" i="12"/>
  <c r="B71" i="12"/>
  <c r="A71" i="12"/>
  <c r="B70" i="12"/>
  <c r="A70" i="12"/>
  <c r="B69" i="12"/>
  <c r="A69" i="12"/>
  <c r="B68" i="12"/>
  <c r="A68" i="12"/>
  <c r="B67" i="12"/>
  <c r="A67" i="12"/>
  <c r="B66" i="12"/>
  <c r="A66" i="12"/>
  <c r="B65" i="12"/>
  <c r="A65" i="12"/>
  <c r="B64" i="12"/>
  <c r="A64" i="12"/>
  <c r="B63" i="12"/>
  <c r="A63" i="12"/>
  <c r="B62" i="12"/>
  <c r="A62" i="12"/>
  <c r="B61" i="12"/>
  <c r="A61" i="12"/>
  <c r="B60" i="12"/>
  <c r="A60" i="12"/>
  <c r="B59" i="12"/>
  <c r="A59" i="12"/>
  <c r="B58" i="12"/>
  <c r="A58" i="12"/>
  <c r="B57" i="12"/>
  <c r="A57" i="12"/>
  <c r="B56" i="12"/>
  <c r="A56" i="12"/>
  <c r="B55" i="12"/>
  <c r="A55" i="12"/>
  <c r="B54" i="12"/>
  <c r="A54" i="12"/>
  <c r="B53" i="12"/>
  <c r="A53" i="12"/>
  <c r="B52" i="12"/>
  <c r="A52" i="12"/>
  <c r="B51" i="12"/>
  <c r="A51" i="12"/>
  <c r="B50" i="12"/>
  <c r="A50" i="12"/>
  <c r="B49" i="12"/>
  <c r="A49" i="12"/>
  <c r="B48" i="12"/>
  <c r="A48" i="12"/>
  <c r="B47" i="12"/>
  <c r="A47" i="12"/>
  <c r="B46" i="12"/>
  <c r="A46" i="12"/>
  <c r="B45" i="12"/>
  <c r="A45" i="12"/>
  <c r="B44" i="12"/>
  <c r="A44" i="12"/>
  <c r="B43" i="12"/>
  <c r="A43" i="12"/>
  <c r="B42" i="12"/>
  <c r="A42" i="12"/>
  <c r="B41" i="12"/>
  <c r="A41" i="12"/>
  <c r="B40" i="12"/>
  <c r="A40" i="12"/>
  <c r="B39" i="12"/>
  <c r="A39" i="12"/>
  <c r="B38" i="12"/>
  <c r="A38" i="12"/>
  <c r="B37" i="12"/>
  <c r="A37" i="12"/>
  <c r="B36" i="12"/>
  <c r="A36" i="12"/>
  <c r="B35" i="12"/>
  <c r="A35" i="12"/>
  <c r="B34" i="12"/>
  <c r="A34" i="12"/>
  <c r="B33" i="12"/>
  <c r="A33" i="12"/>
  <c r="B32" i="12"/>
  <c r="A32" i="12"/>
  <c r="B31" i="12"/>
  <c r="A31" i="12"/>
  <c r="B30" i="12"/>
  <c r="A30" i="12"/>
  <c r="B29" i="12"/>
  <c r="A29" i="12"/>
  <c r="B28" i="12"/>
  <c r="A28" i="12"/>
  <c r="B27" i="12"/>
  <c r="A27" i="12"/>
  <c r="B26" i="12"/>
  <c r="A26" i="12"/>
  <c r="B25" i="12"/>
  <c r="A25" i="12"/>
  <c r="B24" i="12"/>
  <c r="A24" i="12"/>
  <c r="B23" i="12"/>
  <c r="A23" i="12"/>
  <c r="B22" i="12"/>
  <c r="A22" i="12"/>
  <c r="B21" i="12"/>
  <c r="A21" i="12"/>
  <c r="B20" i="12"/>
  <c r="A20" i="12"/>
  <c r="B19" i="12"/>
  <c r="A19" i="12"/>
  <c r="B18" i="12"/>
  <c r="A18" i="12"/>
  <c r="B17" i="12"/>
  <c r="A17" i="12"/>
  <c r="B16" i="12"/>
  <c r="A16" i="12"/>
  <c r="B15" i="12"/>
  <c r="A15" i="12"/>
  <c r="B14" i="12"/>
  <c r="A14" i="12"/>
  <c r="B13" i="12"/>
  <c r="A13" i="12"/>
  <c r="B12" i="12"/>
  <c r="A12" i="12"/>
  <c r="B11" i="12"/>
  <c r="A11" i="12"/>
  <c r="B10" i="12"/>
  <c r="A10" i="12"/>
  <c r="B9" i="12"/>
  <c r="A9" i="12"/>
  <c r="B8" i="12"/>
  <c r="A8" i="12"/>
  <c r="B7" i="12"/>
  <c r="A7" i="12"/>
  <c r="B5" i="12"/>
  <c r="A5" i="12"/>
  <c r="B4" i="12"/>
  <c r="A4" i="12"/>
  <c r="B3" i="12"/>
  <c r="A3" i="12"/>
  <c r="R4" i="1"/>
  <c r="DQ4" i="1" s="1"/>
  <c r="CJ59" i="1" l="1"/>
  <c r="CJ36" i="1"/>
  <c r="CJ23" i="1"/>
  <c r="CK59" i="1"/>
  <c r="CK36" i="1"/>
  <c r="CK23" i="1"/>
  <c r="CS59" i="1" l="1"/>
  <c r="CR59" i="1"/>
  <c r="CQ59" i="1"/>
  <c r="CP59" i="1"/>
  <c r="CU59" i="1"/>
  <c r="CT59" i="1"/>
  <c r="CM59" i="1"/>
  <c r="CL59" i="1"/>
  <c r="CS36" i="1"/>
  <c r="CR36" i="1"/>
  <c r="CQ36" i="1"/>
  <c r="CP36" i="1"/>
  <c r="CU36" i="1"/>
  <c r="CT36" i="1"/>
  <c r="CM36" i="1"/>
  <c r="CL36" i="1"/>
  <c r="CS23" i="1"/>
  <c r="CR23" i="1"/>
  <c r="CQ23" i="1"/>
  <c r="CP23" i="1"/>
  <c r="CU23" i="1"/>
  <c r="CT23" i="1"/>
  <c r="CM23" i="1"/>
  <c r="CL23" i="1"/>
  <c r="CH2" i="2"/>
  <c r="BV2" i="2"/>
  <c r="BJ4" i="2"/>
  <c r="BJ3" i="2"/>
  <c r="BJ2" i="2"/>
  <c r="BH4" i="2"/>
  <c r="BH3" i="2"/>
  <c r="BH2" i="2"/>
  <c r="BF4" i="2"/>
  <c r="BF3" i="2"/>
  <c r="BF2" i="2"/>
  <c r="BD4" i="2"/>
  <c r="BD3" i="2"/>
  <c r="BD2" i="2"/>
  <c r="BB4" i="2"/>
  <c r="BB3" i="2"/>
  <c r="BB2" i="2"/>
  <c r="AZ4" i="2"/>
  <c r="AZ3" i="2"/>
  <c r="AZ2" i="2"/>
  <c r="H15" i="1"/>
  <c r="DI15" i="1" s="1"/>
  <c r="H17" i="1"/>
  <c r="DI17" i="1" s="1"/>
  <c r="H18" i="1"/>
  <c r="DI18" i="1" s="1"/>
  <c r="H19" i="1"/>
  <c r="DI19" i="1" s="1"/>
  <c r="H20" i="1"/>
  <c r="DI20" i="1" s="1"/>
  <c r="H21" i="1"/>
  <c r="DI21" i="1" s="1"/>
  <c r="H22" i="1"/>
  <c r="DI22" i="1" s="1"/>
  <c r="H23" i="1"/>
  <c r="DI23" i="1" s="1"/>
  <c r="H24" i="1"/>
  <c r="DI24" i="1" s="1"/>
  <c r="H25" i="1"/>
  <c r="DI25" i="1" s="1"/>
  <c r="H26" i="1"/>
  <c r="DI26" i="1" s="1"/>
  <c r="H27" i="1"/>
  <c r="DI27" i="1" s="1"/>
  <c r="H28" i="1"/>
  <c r="DI28" i="1" s="1"/>
  <c r="H29" i="1"/>
  <c r="DI29" i="1" s="1"/>
  <c r="H31" i="1"/>
  <c r="DI31" i="1" s="1"/>
  <c r="H32" i="1"/>
  <c r="DI32" i="1" s="1"/>
  <c r="H33" i="1"/>
  <c r="DI33" i="1" s="1"/>
  <c r="H34" i="1"/>
  <c r="DI34" i="1" s="1"/>
  <c r="H35" i="1"/>
  <c r="DI35" i="1" s="1"/>
  <c r="H36" i="1"/>
  <c r="DI36" i="1" s="1"/>
  <c r="H37" i="1"/>
  <c r="DI37" i="1" s="1"/>
  <c r="H38" i="1"/>
  <c r="DI38" i="1" s="1"/>
  <c r="H39" i="1"/>
  <c r="DI39" i="1" s="1"/>
  <c r="H40" i="1"/>
  <c r="DI40" i="1" s="1"/>
  <c r="H41" i="1"/>
  <c r="DI41" i="1" s="1"/>
  <c r="H42" i="1"/>
  <c r="DI42" i="1" s="1"/>
  <c r="H43" i="1"/>
  <c r="DI43" i="1" s="1"/>
  <c r="H44" i="1"/>
  <c r="DI44" i="1" s="1"/>
  <c r="H45" i="1"/>
  <c r="DI45" i="1" s="1"/>
  <c r="H46" i="1"/>
  <c r="DI46" i="1" s="1"/>
  <c r="H47" i="1"/>
  <c r="DI47" i="1" s="1"/>
  <c r="H48" i="1"/>
  <c r="DI48" i="1" s="1"/>
  <c r="H49" i="1"/>
  <c r="DI49" i="1" s="1"/>
  <c r="H50" i="1"/>
  <c r="DI50" i="1" s="1"/>
  <c r="H51" i="1"/>
  <c r="DI51" i="1" s="1"/>
  <c r="H52" i="1"/>
  <c r="DI52" i="1" s="1"/>
  <c r="H53" i="1"/>
  <c r="DI53" i="1" s="1"/>
  <c r="H54" i="1"/>
  <c r="DI54" i="1" s="1"/>
  <c r="H55" i="1"/>
  <c r="DI55" i="1" s="1"/>
  <c r="H56" i="1"/>
  <c r="DI56" i="1" s="1"/>
  <c r="H57" i="1"/>
  <c r="DI57" i="1" s="1"/>
  <c r="H58" i="1"/>
  <c r="DI58" i="1" s="1"/>
  <c r="H59" i="1"/>
  <c r="DI59" i="1" s="1"/>
  <c r="H60" i="1"/>
  <c r="DI60" i="1" s="1"/>
  <c r="H61" i="1"/>
  <c r="DI61" i="1" s="1"/>
  <c r="H62" i="1"/>
  <c r="DI62" i="1" s="1"/>
  <c r="H64" i="1"/>
  <c r="DI64" i="1" s="1"/>
  <c r="H65" i="1"/>
  <c r="DI65" i="1" s="1"/>
  <c r="H66" i="1"/>
  <c r="DI66" i="1" s="1"/>
  <c r="H67" i="1"/>
  <c r="DI67" i="1" s="1"/>
  <c r="H68" i="1"/>
  <c r="DI68" i="1" s="1"/>
  <c r="H69" i="1"/>
  <c r="DI69" i="1" s="1"/>
  <c r="H70" i="1"/>
  <c r="DI70" i="1" s="1"/>
  <c r="H72" i="1"/>
  <c r="DI72" i="1" s="1"/>
  <c r="H73" i="1"/>
  <c r="DI73" i="1" s="1"/>
  <c r="H74" i="1"/>
  <c r="DI74" i="1" s="1"/>
  <c r="H75" i="1"/>
  <c r="DI75" i="1" s="1"/>
  <c r="H76" i="1"/>
  <c r="DI76" i="1" s="1"/>
  <c r="H77" i="1"/>
  <c r="DI77" i="1" s="1"/>
  <c r="H78" i="1"/>
  <c r="DI78" i="1" s="1"/>
  <c r="H79" i="1"/>
  <c r="DI79" i="1" s="1"/>
  <c r="H80" i="1"/>
  <c r="DI80" i="1" s="1"/>
  <c r="H82" i="1"/>
  <c r="DI82" i="1" s="1"/>
  <c r="H83" i="1"/>
  <c r="DI83" i="1" s="1"/>
  <c r="H85" i="1"/>
  <c r="DI85" i="1" s="1"/>
  <c r="H86" i="1"/>
  <c r="DI86" i="1" s="1"/>
  <c r="H87" i="1"/>
  <c r="DI87" i="1" s="1"/>
  <c r="H88" i="1"/>
  <c r="DI88" i="1" s="1"/>
  <c r="H89" i="1"/>
  <c r="DI89" i="1" s="1"/>
  <c r="H90" i="1"/>
  <c r="DI90" i="1" s="1"/>
  <c r="H91" i="1"/>
  <c r="DI91" i="1" s="1"/>
  <c r="H92" i="1"/>
  <c r="DI92" i="1" s="1"/>
  <c r="H93" i="1"/>
  <c r="DI93" i="1" s="1"/>
  <c r="H94" i="1"/>
  <c r="DI94" i="1" s="1"/>
  <c r="H95" i="1"/>
  <c r="DI95" i="1" s="1"/>
  <c r="H11" i="1"/>
  <c r="DI11" i="1" s="1"/>
  <c r="H12" i="1"/>
  <c r="DI12" i="1" s="1"/>
  <c r="H13" i="1"/>
  <c r="DI13" i="1" s="1"/>
  <c r="H14" i="1"/>
  <c r="DI14" i="1" s="1"/>
  <c r="H5" i="1"/>
  <c r="DI5" i="1" s="1"/>
  <c r="H6" i="1"/>
  <c r="DI6" i="1" s="1"/>
  <c r="H8" i="1"/>
  <c r="DI8" i="1" s="1"/>
  <c r="H9" i="1"/>
  <c r="DI9" i="1" s="1"/>
  <c r="H4" i="1"/>
  <c r="DI4" i="1" s="1"/>
  <c r="BU2" i="1"/>
  <c r="BT2" i="1"/>
  <c r="BS2" i="1"/>
  <c r="BR2" i="1"/>
  <c r="BQ2" i="1"/>
  <c r="BO2" i="1"/>
  <c r="BP2" i="1"/>
  <c r="BC4" i="1"/>
  <c r="BC5" i="1"/>
  <c r="BC6" i="1"/>
  <c r="BC8" i="1"/>
  <c r="BC9" i="1"/>
  <c r="BC12" i="1"/>
  <c r="BC13" i="1"/>
  <c r="BC14" i="1"/>
  <c r="BC15" i="1"/>
  <c r="BC17" i="1"/>
  <c r="BC18" i="1"/>
  <c r="BC19" i="1"/>
  <c r="BC20" i="1"/>
  <c r="BC21" i="1"/>
  <c r="BC22" i="1"/>
  <c r="BC24" i="1"/>
  <c r="BC25" i="1"/>
  <c r="BC26" i="1"/>
  <c r="BC27" i="1"/>
  <c r="BC28" i="1"/>
  <c r="BC29" i="1"/>
  <c r="BC31" i="1"/>
  <c r="BC32" i="1"/>
  <c r="BC33" i="1"/>
  <c r="BC34" i="1"/>
  <c r="BC35" i="1"/>
  <c r="BC37" i="1"/>
  <c r="BC38" i="1"/>
  <c r="BC39" i="1"/>
  <c r="BC40" i="1"/>
  <c r="BC41" i="1"/>
  <c r="BC42" i="1"/>
  <c r="BC43" i="1"/>
  <c r="BC44" i="1"/>
  <c r="BC45" i="1"/>
  <c r="BC46" i="1"/>
  <c r="BC47" i="1"/>
  <c r="BC48" i="1"/>
  <c r="BC49" i="1"/>
  <c r="BC50" i="1"/>
  <c r="BC51" i="1"/>
  <c r="BC52" i="1"/>
  <c r="BC53" i="1"/>
  <c r="BC54" i="1"/>
  <c r="BC55" i="1"/>
  <c r="BC56" i="1"/>
  <c r="BC57" i="1"/>
  <c r="BC58" i="1"/>
  <c r="BC60" i="1"/>
  <c r="BC61" i="1"/>
  <c r="BC62" i="1"/>
  <c r="BC64" i="1"/>
  <c r="BC65" i="1"/>
  <c r="BC66" i="1"/>
  <c r="BC67" i="1"/>
  <c r="BC68" i="1"/>
  <c r="BC69" i="1"/>
  <c r="BC70" i="1"/>
  <c r="BC72" i="1"/>
  <c r="BC73" i="1"/>
  <c r="BC74" i="1"/>
  <c r="BC75" i="1"/>
  <c r="BC76" i="1"/>
  <c r="BC77" i="1"/>
  <c r="BC78" i="1"/>
  <c r="BC79" i="1"/>
  <c r="BC80" i="1"/>
  <c r="BC82" i="1"/>
  <c r="BC83" i="1"/>
  <c r="BC85" i="1"/>
  <c r="BC86" i="1"/>
  <c r="BC87" i="1"/>
  <c r="BC88" i="1"/>
  <c r="BC89" i="1"/>
  <c r="BC90" i="1"/>
  <c r="BC91" i="1"/>
  <c r="BC92" i="1"/>
  <c r="BC93" i="1"/>
  <c r="BC94" i="1"/>
  <c r="BC95" i="1"/>
  <c r="AX10" i="1"/>
  <c r="AY10" i="1"/>
  <c r="AZ10" i="1"/>
  <c r="AW96" i="1"/>
  <c r="AX96" i="1"/>
  <c r="AY96" i="1"/>
  <c r="AZ96" i="1"/>
  <c r="BE5" i="1" l="1"/>
  <c r="EA5" i="1" s="1"/>
  <c r="BC71" i="1"/>
  <c r="BC84" i="1"/>
  <c r="BC16" i="1"/>
  <c r="BC63" i="1"/>
  <c r="BC30" i="1"/>
  <c r="BC81" i="1"/>
  <c r="AR15" i="1"/>
  <c r="EG15" i="1" s="1"/>
  <c r="BK5" i="1" l="1"/>
  <c r="BL4" i="1"/>
  <c r="AR59" i="1"/>
  <c r="EG59" i="1" s="1"/>
  <c r="AR5" i="1"/>
  <c r="EG5" i="1" s="1"/>
  <c r="BK7" i="1" l="1"/>
  <c r="DW7" i="1" s="1"/>
  <c r="DW5" i="1"/>
  <c r="O52" i="7"/>
  <c r="O63" i="7"/>
  <c r="O89" i="7"/>
  <c r="O36" i="7"/>
  <c r="O54" i="7"/>
  <c r="O33" i="7"/>
  <c r="O12" i="7"/>
  <c r="O87" i="7"/>
  <c r="O51" i="7"/>
  <c r="O61" i="7"/>
  <c r="O32" i="7"/>
  <c r="O43" i="7"/>
  <c r="O66" i="7"/>
  <c r="O69" i="7"/>
  <c r="O24" i="7"/>
  <c r="O23" i="7"/>
  <c r="O73" i="7"/>
  <c r="O91" i="7"/>
  <c r="O8" i="7"/>
  <c r="O21" i="7"/>
  <c r="O40" i="7"/>
  <c r="O5" i="7"/>
  <c r="O62" i="7"/>
  <c r="O48" i="7"/>
  <c r="O6" i="7"/>
  <c r="O4" i="7"/>
  <c r="O35" i="7"/>
  <c r="O27" i="7"/>
  <c r="O45" i="7"/>
  <c r="O42" i="7"/>
  <c r="O39" i="7"/>
  <c r="O71" i="7"/>
  <c r="O10" i="7"/>
  <c r="O22" i="7"/>
  <c r="O7" i="7"/>
  <c r="O60" i="7"/>
  <c r="O56" i="7"/>
  <c r="O37" i="7"/>
  <c r="O44" i="7"/>
  <c r="O88" i="7"/>
  <c r="O83" i="7"/>
  <c r="O50" i="7"/>
  <c r="O55" i="7"/>
  <c r="O19" i="7"/>
  <c r="O38" i="7"/>
  <c r="O77" i="7"/>
  <c r="O85" i="7"/>
  <c r="O74" i="7"/>
  <c r="O25" i="7"/>
  <c r="O16" i="7"/>
  <c r="O14" i="7"/>
  <c r="O17" i="7"/>
  <c r="O13" i="7"/>
  <c r="O20" i="7"/>
  <c r="O64" i="7"/>
  <c r="O80" i="7"/>
  <c r="O81" i="7"/>
  <c r="O53" i="7"/>
  <c r="O79" i="7"/>
  <c r="O75" i="7"/>
  <c r="O68" i="7"/>
  <c r="O82" i="7"/>
  <c r="O47" i="7"/>
  <c r="O11" i="7"/>
  <c r="O58" i="7"/>
  <c r="O76" i="7"/>
  <c r="O90" i="7"/>
  <c r="O84" i="7"/>
  <c r="O86" i="7"/>
  <c r="O34" i="7"/>
  <c r="O29" i="7"/>
  <c r="O49" i="7"/>
  <c r="O28" i="7"/>
  <c r="O70" i="7"/>
  <c r="O57" i="7"/>
  <c r="O31" i="7"/>
  <c r="O67" i="7"/>
  <c r="O30" i="7"/>
  <c r="O15" i="7"/>
  <c r="O46" i="7"/>
  <c r="O9" i="7"/>
  <c r="O18" i="7"/>
  <c r="O78" i="7"/>
  <c r="O26" i="7"/>
  <c r="O72" i="7"/>
  <c r="O41" i="7"/>
  <c r="O65" i="7"/>
  <c r="H6" i="7"/>
  <c r="A72" i="7"/>
  <c r="H5" i="7"/>
  <c r="H7" i="7"/>
  <c r="A71" i="7"/>
  <c r="A70" i="7"/>
  <c r="A69" i="7"/>
  <c r="A68" i="7"/>
  <c r="A67" i="7"/>
  <c r="A66" i="7"/>
  <c r="H19" i="7"/>
  <c r="A65" i="7"/>
  <c r="A63" i="7"/>
  <c r="A64" i="7"/>
  <c r="A62" i="7"/>
  <c r="A60" i="7"/>
  <c r="A61" i="7"/>
  <c r="A59" i="7"/>
  <c r="A58" i="7"/>
  <c r="H11" i="7"/>
  <c r="A57" i="7"/>
  <c r="H22" i="7"/>
  <c r="A56" i="7"/>
  <c r="H4" i="7"/>
  <c r="A54" i="7"/>
  <c r="A55" i="7"/>
  <c r="A53" i="7"/>
  <c r="A52" i="7"/>
  <c r="A51" i="7"/>
  <c r="A50" i="7"/>
  <c r="A49" i="7"/>
  <c r="H23" i="7"/>
  <c r="H17" i="7"/>
  <c r="H20" i="7"/>
  <c r="H16" i="7"/>
  <c r="A48" i="7"/>
  <c r="A47" i="7"/>
  <c r="A46" i="7"/>
  <c r="A45" i="7"/>
  <c r="H21" i="7"/>
  <c r="A44" i="7"/>
  <c r="A43" i="7"/>
  <c r="H18" i="7"/>
  <c r="A42" i="7"/>
  <c r="A41" i="7"/>
  <c r="A40" i="7"/>
  <c r="A39" i="7"/>
  <c r="A38" i="7"/>
  <c r="A37" i="7"/>
  <c r="A36" i="7"/>
  <c r="A35" i="7"/>
  <c r="A34" i="7"/>
  <c r="A33" i="7"/>
  <c r="A32" i="7"/>
  <c r="A31" i="7"/>
  <c r="A30" i="7"/>
  <c r="A29" i="7"/>
  <c r="A28" i="7"/>
  <c r="A27" i="7"/>
  <c r="A26" i="7"/>
  <c r="A25" i="7"/>
  <c r="A24" i="7"/>
  <c r="A23" i="7"/>
  <c r="A21" i="7"/>
  <c r="A22" i="7"/>
  <c r="A20" i="7"/>
  <c r="A19" i="7"/>
  <c r="A18" i="7"/>
  <c r="A17" i="7"/>
  <c r="A16" i="7"/>
  <c r="A15" i="7"/>
  <c r="A14" i="7"/>
  <c r="A13" i="7"/>
  <c r="A12" i="7"/>
  <c r="A11" i="7"/>
  <c r="A10" i="7"/>
  <c r="H14" i="7"/>
  <c r="A9" i="7"/>
  <c r="H15" i="7"/>
  <c r="A8" i="7"/>
  <c r="A7" i="7"/>
  <c r="A6" i="7"/>
  <c r="H8" i="7"/>
  <c r="H12" i="7"/>
  <c r="A5" i="7"/>
  <c r="A4" i="7"/>
  <c r="H9" i="7"/>
  <c r="H13" i="7"/>
  <c r="F16" i="1" l="1"/>
  <c r="DG16" i="1" s="1"/>
  <c r="E81" i="5"/>
  <c r="E80" i="5"/>
  <c r="E79" i="5"/>
  <c r="E78" i="5"/>
  <c r="E77" i="5"/>
  <c r="E76" i="5"/>
  <c r="E75" i="5"/>
  <c r="E74" i="5"/>
  <c r="E73" i="5"/>
  <c r="E72" i="5"/>
  <c r="E71" i="5"/>
  <c r="E70" i="5"/>
  <c r="E69" i="5"/>
  <c r="E68" i="5"/>
  <c r="E67" i="5"/>
  <c r="E66" i="5"/>
  <c r="E65" i="5"/>
  <c r="E64" i="5"/>
  <c r="E63" i="5"/>
  <c r="E62" i="5"/>
  <c r="E61" i="5"/>
  <c r="E60" i="5"/>
  <c r="E59" i="5"/>
  <c r="E58" i="5"/>
  <c r="E57" i="5"/>
  <c r="E56" i="5"/>
  <c r="E55" i="5"/>
  <c r="E54" i="5"/>
  <c r="E53" i="5"/>
  <c r="E52" i="5"/>
  <c r="E51" i="5"/>
  <c r="E50" i="5"/>
  <c r="E49" i="5"/>
  <c r="E48" i="5"/>
  <c r="E47" i="5"/>
  <c r="E46" i="5"/>
  <c r="E45" i="5"/>
  <c r="E44" i="5"/>
  <c r="E43" i="5"/>
  <c r="E42" i="5"/>
  <c r="E41" i="5"/>
  <c r="E40" i="5"/>
  <c r="E39" i="5"/>
  <c r="E38" i="5"/>
  <c r="E37" i="5"/>
  <c r="E36" i="5"/>
  <c r="E35" i="5"/>
  <c r="E34" i="5"/>
  <c r="E33" i="5"/>
  <c r="E32" i="5"/>
  <c r="E31" i="5"/>
  <c r="E30" i="5"/>
  <c r="E29" i="5"/>
  <c r="E28" i="5"/>
  <c r="E27" i="5"/>
  <c r="E26" i="5"/>
  <c r="E25" i="5"/>
  <c r="E24" i="5"/>
  <c r="E23" i="5"/>
  <c r="E22" i="5"/>
  <c r="E21" i="5"/>
  <c r="E20" i="5"/>
  <c r="E19" i="5"/>
  <c r="E18" i="5"/>
  <c r="E17" i="5"/>
  <c r="E16" i="5"/>
  <c r="E15" i="5"/>
  <c r="E14" i="5"/>
  <c r="E13" i="5"/>
  <c r="E12" i="5"/>
  <c r="E11" i="5"/>
  <c r="E10" i="5"/>
  <c r="E9" i="5"/>
  <c r="E8" i="5"/>
  <c r="E7" i="5"/>
  <c r="E6" i="5"/>
  <c r="E5" i="5"/>
  <c r="E4" i="5"/>
  <c r="E3" i="5"/>
  <c r="E2" i="5"/>
  <c r="AN16" i="1" l="1"/>
  <c r="DX16" i="1" s="1"/>
  <c r="J16" i="1"/>
  <c r="DN16" i="1" s="1"/>
  <c r="AM16" i="1"/>
  <c r="L16" i="1"/>
  <c r="DL16" i="1" s="1"/>
  <c r="AP16" i="1"/>
  <c r="DZ16" i="1" s="1"/>
  <c r="AO16" i="1"/>
  <c r="DY16" i="1" s="1"/>
  <c r="K16" i="1"/>
  <c r="D89" i="6"/>
  <c r="D88" i="6"/>
  <c r="D87" i="6"/>
  <c r="D86" i="6"/>
  <c r="D85" i="6"/>
  <c r="D84" i="6"/>
  <c r="D83" i="6"/>
  <c r="D82" i="6"/>
  <c r="D81" i="6"/>
  <c r="D80" i="6"/>
  <c r="D79" i="6"/>
  <c r="D77" i="6"/>
  <c r="D76" i="6"/>
  <c r="D74" i="6"/>
  <c r="D73" i="6"/>
  <c r="D72" i="6"/>
  <c r="D71" i="6"/>
  <c r="D70" i="6"/>
  <c r="D69" i="6"/>
  <c r="D68" i="6"/>
  <c r="D65" i="6"/>
  <c r="D64" i="6"/>
  <c r="D63" i="6"/>
  <c r="D62" i="6"/>
  <c r="D61" i="6"/>
  <c r="D60" i="6"/>
  <c r="D59" i="6"/>
  <c r="D57" i="6"/>
  <c r="D56" i="6"/>
  <c r="D55" i="6"/>
  <c r="D54" i="6"/>
  <c r="D53" i="6"/>
  <c r="D52" i="6"/>
  <c r="D51" i="6"/>
  <c r="D50" i="6"/>
  <c r="D49" i="6"/>
  <c r="D48" i="6"/>
  <c r="D47" i="6"/>
  <c r="D46" i="6"/>
  <c r="D45" i="6"/>
  <c r="D44" i="6"/>
  <c r="D43" i="6"/>
  <c r="D42" i="6"/>
  <c r="D41" i="6"/>
  <c r="D40" i="6"/>
  <c r="D39" i="6"/>
  <c r="D38" i="6"/>
  <c r="D37" i="6"/>
  <c r="D36" i="6"/>
  <c r="D35" i="6"/>
  <c r="D34" i="6"/>
  <c r="D33" i="6"/>
  <c r="D32" i="6"/>
  <c r="D31" i="6"/>
  <c r="D30" i="6"/>
  <c r="D29" i="6"/>
  <c r="D28" i="6"/>
  <c r="D26" i="6"/>
  <c r="D25" i="6"/>
  <c r="D24" i="6"/>
  <c r="D23" i="6"/>
  <c r="D22" i="6"/>
  <c r="D21" i="6"/>
  <c r="D20" i="6"/>
  <c r="D19" i="6"/>
  <c r="D18" i="6"/>
  <c r="D17" i="6"/>
  <c r="D16" i="6"/>
  <c r="D15" i="6"/>
  <c r="D13" i="6"/>
  <c r="D12" i="6"/>
  <c r="D11" i="6"/>
  <c r="D10" i="6"/>
  <c r="D9" i="6"/>
  <c r="D7" i="6"/>
  <c r="D6" i="6"/>
  <c r="D4" i="6"/>
  <c r="D3" i="6"/>
  <c r="D2" i="6"/>
  <c r="C89" i="6"/>
  <c r="C88" i="6"/>
  <c r="C87" i="6"/>
  <c r="C86" i="6"/>
  <c r="C85" i="6"/>
  <c r="C84" i="6"/>
  <c r="C83" i="6"/>
  <c r="C82" i="6"/>
  <c r="C81" i="6"/>
  <c r="C80" i="6"/>
  <c r="C79" i="6"/>
  <c r="C77" i="6"/>
  <c r="C76" i="6"/>
  <c r="C74" i="6"/>
  <c r="C73" i="6"/>
  <c r="C72" i="6"/>
  <c r="C71" i="6"/>
  <c r="C70" i="6"/>
  <c r="C69" i="6"/>
  <c r="C68" i="6"/>
  <c r="C67" i="6"/>
  <c r="C65" i="6"/>
  <c r="C64" i="6"/>
  <c r="C63" i="6"/>
  <c r="C62" i="6"/>
  <c r="C61" i="6"/>
  <c r="C60" i="6"/>
  <c r="C59" i="6"/>
  <c r="C57" i="6"/>
  <c r="C56" i="6"/>
  <c r="C55" i="6"/>
  <c r="C54" i="6"/>
  <c r="C53" i="6"/>
  <c r="C52" i="6"/>
  <c r="C51" i="6"/>
  <c r="C50" i="6"/>
  <c r="C49" i="6"/>
  <c r="C48" i="6"/>
  <c r="C47" i="6"/>
  <c r="C46" i="6"/>
  <c r="C45" i="6"/>
  <c r="C44" i="6"/>
  <c r="C43" i="6"/>
  <c r="C42" i="6"/>
  <c r="C41" i="6"/>
  <c r="C40" i="6"/>
  <c r="C39" i="6"/>
  <c r="C38" i="6"/>
  <c r="C37" i="6"/>
  <c r="C36" i="6"/>
  <c r="C35" i="6"/>
  <c r="C34" i="6"/>
  <c r="C33" i="6"/>
  <c r="C32" i="6"/>
  <c r="C31" i="6"/>
  <c r="C30" i="6"/>
  <c r="C29" i="6"/>
  <c r="C28" i="6"/>
  <c r="C26" i="6"/>
  <c r="C25" i="6"/>
  <c r="C24" i="6"/>
  <c r="C23" i="6"/>
  <c r="C22" i="6"/>
  <c r="C21" i="6"/>
  <c r="C20" i="6"/>
  <c r="C19" i="6"/>
  <c r="C18" i="6"/>
  <c r="C17" i="6"/>
  <c r="C16" i="6"/>
  <c r="C15" i="6"/>
  <c r="C13" i="6"/>
  <c r="C12" i="6"/>
  <c r="C11" i="6"/>
  <c r="C10" i="6"/>
  <c r="C9" i="6"/>
  <c r="C7" i="6"/>
  <c r="C6" i="6"/>
  <c r="C4" i="6"/>
  <c r="C3" i="6"/>
  <c r="C2" i="6"/>
  <c r="B90" i="6"/>
  <c r="B89" i="6"/>
  <c r="B88" i="6"/>
  <c r="B87" i="6"/>
  <c r="B86" i="6"/>
  <c r="B85" i="6"/>
  <c r="B84" i="6"/>
  <c r="B83" i="6"/>
  <c r="B82" i="6"/>
  <c r="B81" i="6"/>
  <c r="B80" i="6"/>
  <c r="B79" i="6"/>
  <c r="B78" i="6"/>
  <c r="B77" i="6"/>
  <c r="B76" i="6"/>
  <c r="B75" i="6"/>
  <c r="B74" i="6"/>
  <c r="B73" i="6"/>
  <c r="B72" i="6"/>
  <c r="B71" i="6"/>
  <c r="B70" i="6"/>
  <c r="B69" i="6"/>
  <c r="B68" i="6"/>
  <c r="B67" i="6"/>
  <c r="B66" i="6"/>
  <c r="B65" i="6"/>
  <c r="B64" i="6"/>
  <c r="B63" i="6"/>
  <c r="B62" i="6"/>
  <c r="B61" i="6"/>
  <c r="B60" i="6"/>
  <c r="B59" i="6"/>
  <c r="B58" i="6"/>
  <c r="B57" i="6"/>
  <c r="B56" i="6"/>
  <c r="B55" i="6"/>
  <c r="B54" i="6"/>
  <c r="B53" i="6"/>
  <c r="B52" i="6"/>
  <c r="B51" i="6"/>
  <c r="B50" i="6"/>
  <c r="B49" i="6"/>
  <c r="B48" i="6"/>
  <c r="B47" i="6"/>
  <c r="B46" i="6"/>
  <c r="B45" i="6"/>
  <c r="B44" i="6"/>
  <c r="B43" i="6"/>
  <c r="B42" i="6"/>
  <c r="B41" i="6"/>
  <c r="B40" i="6"/>
  <c r="B39" i="6"/>
  <c r="B38" i="6"/>
  <c r="B37" i="6"/>
  <c r="B36" i="6"/>
  <c r="B35" i="6"/>
  <c r="B34" i="6"/>
  <c r="B33" i="6"/>
  <c r="B32" i="6"/>
  <c r="B31" i="6"/>
  <c r="B30" i="6"/>
  <c r="B29" i="6"/>
  <c r="B28" i="6"/>
  <c r="B27" i="6"/>
  <c r="B26" i="6"/>
  <c r="B25" i="6"/>
  <c r="B24" i="6"/>
  <c r="B23" i="6"/>
  <c r="B22" i="6"/>
  <c r="B21" i="6"/>
  <c r="B20" i="6"/>
  <c r="B19" i="6"/>
  <c r="B18" i="6"/>
  <c r="B17" i="6"/>
  <c r="B16" i="6"/>
  <c r="B15" i="6"/>
  <c r="B14" i="6"/>
  <c r="B13" i="6"/>
  <c r="B12" i="6"/>
  <c r="B11" i="6"/>
  <c r="B10" i="6"/>
  <c r="B9" i="6"/>
  <c r="B8" i="6"/>
  <c r="B7" i="6"/>
  <c r="B6" i="6"/>
  <c r="B4" i="6"/>
  <c r="B3" i="6"/>
  <c r="B2" i="6"/>
  <c r="A90" i="6"/>
  <c r="A89" i="6"/>
  <c r="A88" i="6"/>
  <c r="A87" i="6"/>
  <c r="A86" i="6"/>
  <c r="A85" i="6"/>
  <c r="A84" i="6"/>
  <c r="A83" i="6"/>
  <c r="A82" i="6"/>
  <c r="A81" i="6"/>
  <c r="A80" i="6"/>
  <c r="A79" i="6"/>
  <c r="A78" i="6"/>
  <c r="A77" i="6"/>
  <c r="A76" i="6"/>
  <c r="A75" i="6"/>
  <c r="A74" i="6"/>
  <c r="A73" i="6"/>
  <c r="A72" i="6"/>
  <c r="A71" i="6"/>
  <c r="A70" i="6"/>
  <c r="A69" i="6"/>
  <c r="A68" i="6"/>
  <c r="A67" i="6"/>
  <c r="A66" i="6"/>
  <c r="A65" i="6"/>
  <c r="A64" i="6"/>
  <c r="A63" i="6"/>
  <c r="A62" i="6"/>
  <c r="A61" i="6"/>
  <c r="A60" i="6"/>
  <c r="A59" i="6"/>
  <c r="A58" i="6"/>
  <c r="A57" i="6"/>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4" i="6"/>
  <c r="A3" i="6"/>
  <c r="A2" i="6"/>
  <c r="DK16" i="1" l="1"/>
  <c r="E15" i="12"/>
  <c r="AT73" i="1"/>
  <c r="DF73" i="1" s="1"/>
  <c r="D27" i="6"/>
  <c r="D67" i="6" l="1"/>
  <c r="P73" i="1"/>
  <c r="A2" i="5"/>
  <c r="B2" i="5"/>
  <c r="A3" i="5"/>
  <c r="B3" i="5"/>
  <c r="A4" i="5"/>
  <c r="B4" i="5"/>
  <c r="A5" i="5"/>
  <c r="B5" i="5"/>
  <c r="A6" i="5"/>
  <c r="B6" i="5"/>
  <c r="A7" i="5"/>
  <c r="B7" i="5"/>
  <c r="A8" i="5"/>
  <c r="B8" i="5"/>
  <c r="A9" i="5"/>
  <c r="B9" i="5"/>
  <c r="A10" i="5"/>
  <c r="B10" i="5"/>
  <c r="A11" i="5"/>
  <c r="B11" i="5"/>
  <c r="A12" i="5"/>
  <c r="B12" i="5"/>
  <c r="A13" i="5"/>
  <c r="B13" i="5"/>
  <c r="A14" i="5"/>
  <c r="B14" i="5"/>
  <c r="A15" i="5"/>
  <c r="B15" i="5"/>
  <c r="A16" i="5"/>
  <c r="B16" i="5"/>
  <c r="A17" i="5"/>
  <c r="B17" i="5"/>
  <c r="A18" i="5"/>
  <c r="B18" i="5"/>
  <c r="A19" i="5"/>
  <c r="B19" i="5"/>
  <c r="A20" i="5"/>
  <c r="B20" i="5"/>
  <c r="A21" i="5"/>
  <c r="B21" i="5"/>
  <c r="A22" i="5"/>
  <c r="B22" i="5"/>
  <c r="A23" i="5"/>
  <c r="B23" i="5"/>
  <c r="A24" i="5"/>
  <c r="B24" i="5"/>
  <c r="A25" i="5"/>
  <c r="B25" i="5"/>
  <c r="A26" i="5"/>
  <c r="B26" i="5"/>
  <c r="A27" i="5"/>
  <c r="B27" i="5"/>
  <c r="A28" i="5"/>
  <c r="B28" i="5"/>
  <c r="A29" i="5"/>
  <c r="B29" i="5"/>
  <c r="A30" i="5"/>
  <c r="B30" i="5"/>
  <c r="A31" i="5"/>
  <c r="B31" i="5"/>
  <c r="A32" i="5"/>
  <c r="B32" i="5"/>
  <c r="A33" i="5"/>
  <c r="B33" i="5"/>
  <c r="A34" i="5"/>
  <c r="B34" i="5"/>
  <c r="A35" i="5"/>
  <c r="B35" i="5"/>
  <c r="A36" i="5"/>
  <c r="B36" i="5"/>
  <c r="A37" i="5"/>
  <c r="B37" i="5"/>
  <c r="A38" i="5"/>
  <c r="B38" i="5"/>
  <c r="A39" i="5"/>
  <c r="B39" i="5"/>
  <c r="A40" i="5"/>
  <c r="B40" i="5"/>
  <c r="A41" i="5"/>
  <c r="B41" i="5"/>
  <c r="A42" i="5"/>
  <c r="B42" i="5"/>
  <c r="A43" i="5"/>
  <c r="B43" i="5"/>
  <c r="A44" i="5"/>
  <c r="B44" i="5"/>
  <c r="A45" i="5"/>
  <c r="B45" i="5"/>
  <c r="A46" i="5"/>
  <c r="B46" i="5"/>
  <c r="A47" i="5"/>
  <c r="B47" i="5"/>
  <c r="A48" i="5"/>
  <c r="B48" i="5"/>
  <c r="A49" i="5"/>
  <c r="B49" i="5"/>
  <c r="A50" i="5"/>
  <c r="B50" i="5"/>
  <c r="A51" i="5"/>
  <c r="B51" i="5"/>
  <c r="A52" i="5"/>
  <c r="B52" i="5"/>
  <c r="A53" i="5"/>
  <c r="B53" i="5"/>
  <c r="A54" i="5"/>
  <c r="B54" i="5"/>
  <c r="A55" i="5"/>
  <c r="B55" i="5"/>
  <c r="A56" i="5"/>
  <c r="B56" i="5"/>
  <c r="A57" i="5"/>
  <c r="B57" i="5"/>
  <c r="A58" i="5"/>
  <c r="B58" i="5"/>
  <c r="A59" i="5"/>
  <c r="B59" i="5"/>
  <c r="A60" i="5"/>
  <c r="B60" i="5"/>
  <c r="A61" i="5"/>
  <c r="B61" i="5"/>
  <c r="A62" i="5"/>
  <c r="B62" i="5"/>
  <c r="A63" i="5"/>
  <c r="B63" i="5"/>
  <c r="A64" i="5"/>
  <c r="B64" i="5"/>
  <c r="A65" i="5"/>
  <c r="B65" i="5"/>
  <c r="A66" i="5"/>
  <c r="B66" i="5"/>
  <c r="A67" i="5"/>
  <c r="B67" i="5"/>
  <c r="A68" i="5"/>
  <c r="B68" i="5"/>
  <c r="A69" i="5"/>
  <c r="B69" i="5"/>
  <c r="A70" i="5"/>
  <c r="B70" i="5"/>
  <c r="A71" i="5"/>
  <c r="B71" i="5"/>
  <c r="A72" i="5"/>
  <c r="B72" i="5"/>
  <c r="A73" i="5"/>
  <c r="B73" i="5"/>
  <c r="A74" i="5"/>
  <c r="B74" i="5"/>
  <c r="A75" i="5"/>
  <c r="B75" i="5"/>
  <c r="A76" i="5"/>
  <c r="B76" i="5"/>
  <c r="A77" i="5"/>
  <c r="B77" i="5"/>
  <c r="A78" i="5"/>
  <c r="B78" i="5"/>
  <c r="A79" i="5"/>
  <c r="B79" i="5"/>
  <c r="A80" i="5"/>
  <c r="B80" i="5"/>
  <c r="A81" i="5"/>
  <c r="B81" i="5"/>
  <c r="C2" i="5"/>
  <c r="D2" i="5"/>
  <c r="C3" i="5"/>
  <c r="D3" i="5"/>
  <c r="C4" i="5"/>
  <c r="D4" i="5"/>
  <c r="C5" i="5"/>
  <c r="D5" i="5"/>
  <c r="C6" i="5"/>
  <c r="D6" i="5"/>
  <c r="C7" i="5"/>
  <c r="D7" i="5"/>
  <c r="C8" i="5"/>
  <c r="D8" i="5"/>
  <c r="C9" i="5"/>
  <c r="D9" i="5"/>
  <c r="C10" i="5"/>
  <c r="D10" i="5"/>
  <c r="C11" i="5"/>
  <c r="D11" i="5"/>
  <c r="C12" i="5"/>
  <c r="D12" i="5"/>
  <c r="C13" i="5"/>
  <c r="D13" i="5"/>
  <c r="C14" i="5"/>
  <c r="D14" i="5"/>
  <c r="C15" i="5"/>
  <c r="D15" i="5"/>
  <c r="C16" i="5"/>
  <c r="D16" i="5"/>
  <c r="C17" i="5"/>
  <c r="D17" i="5"/>
  <c r="C18" i="5"/>
  <c r="D18" i="5"/>
  <c r="C19" i="5"/>
  <c r="D19" i="5"/>
  <c r="C20" i="5"/>
  <c r="D20" i="5"/>
  <c r="C21" i="5"/>
  <c r="D21" i="5"/>
  <c r="C22" i="5"/>
  <c r="D22" i="5"/>
  <c r="C23" i="5"/>
  <c r="D23" i="5"/>
  <c r="C24" i="5"/>
  <c r="D24" i="5"/>
  <c r="C25" i="5"/>
  <c r="D25" i="5"/>
  <c r="C26" i="5"/>
  <c r="D26" i="5"/>
  <c r="C27" i="5"/>
  <c r="D27" i="5"/>
  <c r="C28" i="5"/>
  <c r="D28" i="5"/>
  <c r="C29" i="5"/>
  <c r="D29" i="5"/>
  <c r="C30" i="5"/>
  <c r="D30" i="5"/>
  <c r="C31" i="5"/>
  <c r="D31" i="5"/>
  <c r="C32" i="5"/>
  <c r="D32" i="5"/>
  <c r="C33" i="5"/>
  <c r="D33" i="5"/>
  <c r="C34" i="5"/>
  <c r="D34" i="5"/>
  <c r="C35" i="5"/>
  <c r="D35" i="5"/>
  <c r="C36" i="5"/>
  <c r="D36" i="5"/>
  <c r="C37" i="5"/>
  <c r="D37" i="5"/>
  <c r="C38" i="5"/>
  <c r="D38" i="5"/>
  <c r="C39" i="5"/>
  <c r="D39" i="5"/>
  <c r="C40" i="5"/>
  <c r="D40" i="5"/>
  <c r="C41" i="5"/>
  <c r="D41" i="5"/>
  <c r="C42" i="5"/>
  <c r="D42" i="5"/>
  <c r="C43" i="5"/>
  <c r="D43" i="5"/>
  <c r="C44" i="5"/>
  <c r="D44" i="5"/>
  <c r="C45" i="5"/>
  <c r="D45" i="5"/>
  <c r="C46" i="5"/>
  <c r="D46" i="5"/>
  <c r="C47" i="5"/>
  <c r="D47" i="5"/>
  <c r="C48" i="5"/>
  <c r="D48" i="5"/>
  <c r="C49" i="5"/>
  <c r="D49" i="5"/>
  <c r="C50" i="5"/>
  <c r="D50" i="5"/>
  <c r="C51" i="5"/>
  <c r="D51" i="5"/>
  <c r="C52" i="5"/>
  <c r="D52" i="5"/>
  <c r="C53" i="5"/>
  <c r="D53" i="5"/>
  <c r="C54" i="5"/>
  <c r="D54" i="5"/>
  <c r="C55" i="5"/>
  <c r="D55" i="5"/>
  <c r="C56" i="5"/>
  <c r="D56" i="5"/>
  <c r="C57" i="5"/>
  <c r="D57" i="5"/>
  <c r="C58" i="5"/>
  <c r="D58" i="5"/>
  <c r="C59" i="5"/>
  <c r="D59" i="5"/>
  <c r="C60" i="5"/>
  <c r="D60" i="5"/>
  <c r="C61" i="5"/>
  <c r="D61" i="5"/>
  <c r="C62" i="5"/>
  <c r="D62" i="5"/>
  <c r="C63" i="5"/>
  <c r="D63" i="5"/>
  <c r="C64" i="5"/>
  <c r="D64" i="5"/>
  <c r="C65" i="5"/>
  <c r="D65" i="5"/>
  <c r="C66" i="5"/>
  <c r="D66" i="5"/>
  <c r="C67" i="5"/>
  <c r="D67" i="5"/>
  <c r="C68" i="5"/>
  <c r="D68" i="5"/>
  <c r="C69" i="5"/>
  <c r="D69" i="5"/>
  <c r="C70" i="5"/>
  <c r="D70" i="5"/>
  <c r="C71" i="5"/>
  <c r="D71" i="5"/>
  <c r="C72" i="5"/>
  <c r="D72" i="5"/>
  <c r="C73" i="5"/>
  <c r="D73" i="5"/>
  <c r="C74" i="5"/>
  <c r="D74" i="5"/>
  <c r="C75" i="5"/>
  <c r="D75" i="5"/>
  <c r="C76" i="5"/>
  <c r="D76" i="5"/>
  <c r="C77" i="5"/>
  <c r="D77" i="5"/>
  <c r="C78" i="5"/>
  <c r="D78" i="5"/>
  <c r="C79" i="5"/>
  <c r="D79" i="5"/>
  <c r="C80" i="5"/>
  <c r="D80" i="5"/>
  <c r="C81" i="5"/>
  <c r="D81" i="5"/>
  <c r="P4" i="1" l="1"/>
  <c r="E2" i="6" s="1"/>
  <c r="P95" i="1"/>
  <c r="E89" i="6" s="1"/>
  <c r="P94" i="1"/>
  <c r="E88" i="6" s="1"/>
  <c r="P93" i="1"/>
  <c r="P92" i="1"/>
  <c r="E86" i="6" s="1"/>
  <c r="P91" i="1"/>
  <c r="E85" i="6" s="1"/>
  <c r="P90" i="1"/>
  <c r="E84" i="6" s="1"/>
  <c r="P89" i="1"/>
  <c r="E83" i="6" s="1"/>
  <c r="P88" i="1"/>
  <c r="E82" i="6" s="1"/>
  <c r="P87" i="1"/>
  <c r="E81" i="6" s="1"/>
  <c r="P86" i="1"/>
  <c r="E80" i="6" s="1"/>
  <c r="P85" i="1"/>
  <c r="E79" i="6" s="1"/>
  <c r="P83" i="1"/>
  <c r="E77" i="6" s="1"/>
  <c r="P82" i="1"/>
  <c r="E76" i="6" s="1"/>
  <c r="P80" i="1"/>
  <c r="E74" i="6" s="1"/>
  <c r="P79" i="1"/>
  <c r="E73" i="6" s="1"/>
  <c r="P78" i="1"/>
  <c r="E72" i="6" s="1"/>
  <c r="P77" i="1"/>
  <c r="E71" i="6" s="1"/>
  <c r="P76" i="1"/>
  <c r="E70" i="6" s="1"/>
  <c r="P75" i="1"/>
  <c r="E69" i="6" s="1"/>
  <c r="P74" i="1"/>
  <c r="E68" i="6" s="1"/>
  <c r="P72" i="1"/>
  <c r="P70" i="1"/>
  <c r="E65" i="6" s="1"/>
  <c r="P69" i="1"/>
  <c r="E64" i="6" s="1"/>
  <c r="P68" i="1"/>
  <c r="E63" i="6" s="1"/>
  <c r="P67" i="1"/>
  <c r="E62" i="6" s="1"/>
  <c r="P66" i="1"/>
  <c r="E61" i="6" s="1"/>
  <c r="P65" i="1"/>
  <c r="E60" i="6" s="1"/>
  <c r="P64" i="1"/>
  <c r="E59" i="6" s="1"/>
  <c r="P62" i="1"/>
  <c r="E57" i="6" s="1"/>
  <c r="P61" i="1"/>
  <c r="E56" i="6" s="1"/>
  <c r="P60" i="1"/>
  <c r="E55" i="6" s="1"/>
  <c r="P59" i="1"/>
  <c r="P58" i="1"/>
  <c r="E54" i="6" s="1"/>
  <c r="P57" i="1"/>
  <c r="E53" i="6" s="1"/>
  <c r="P56" i="1"/>
  <c r="E52" i="6" s="1"/>
  <c r="P55" i="1"/>
  <c r="E51" i="6" s="1"/>
  <c r="P54" i="1"/>
  <c r="E50" i="6" s="1"/>
  <c r="P53" i="1"/>
  <c r="E49" i="6" s="1"/>
  <c r="P52" i="1"/>
  <c r="E48" i="6" s="1"/>
  <c r="P51" i="1"/>
  <c r="E47" i="6" s="1"/>
  <c r="P50" i="1"/>
  <c r="E46" i="6" s="1"/>
  <c r="P49" i="1"/>
  <c r="E45" i="6" s="1"/>
  <c r="P48" i="1"/>
  <c r="E44" i="6" s="1"/>
  <c r="P47" i="1"/>
  <c r="E43" i="6" s="1"/>
  <c r="P46" i="1"/>
  <c r="E42" i="6" s="1"/>
  <c r="P45" i="1"/>
  <c r="E41" i="6" s="1"/>
  <c r="P44" i="1"/>
  <c r="E40" i="6" s="1"/>
  <c r="P43" i="1"/>
  <c r="E39" i="6" s="1"/>
  <c r="P42" i="1"/>
  <c r="E38" i="6" s="1"/>
  <c r="P41" i="1"/>
  <c r="E37" i="6" s="1"/>
  <c r="P40" i="1"/>
  <c r="E36" i="6" s="1"/>
  <c r="P39" i="1"/>
  <c r="E35" i="6" s="1"/>
  <c r="P38" i="1"/>
  <c r="E34" i="6" s="1"/>
  <c r="P37" i="1"/>
  <c r="E33" i="6" s="1"/>
  <c r="P36" i="1"/>
  <c r="P35" i="1"/>
  <c r="E32" i="6" s="1"/>
  <c r="P34" i="1"/>
  <c r="E31" i="6" s="1"/>
  <c r="P33" i="1"/>
  <c r="E30" i="6" s="1"/>
  <c r="P32" i="1"/>
  <c r="E29" i="6" s="1"/>
  <c r="P31" i="1"/>
  <c r="E28" i="6" s="1"/>
  <c r="P29" i="1"/>
  <c r="E26" i="6" s="1"/>
  <c r="P28" i="1"/>
  <c r="P27" i="1"/>
  <c r="E24" i="6" s="1"/>
  <c r="P26" i="1"/>
  <c r="E23" i="6" s="1"/>
  <c r="P25" i="1"/>
  <c r="E22" i="6" s="1"/>
  <c r="P24" i="1"/>
  <c r="E21" i="6" s="1"/>
  <c r="P23" i="1"/>
  <c r="P22" i="1"/>
  <c r="E20" i="6" s="1"/>
  <c r="P21" i="1"/>
  <c r="E19" i="6" s="1"/>
  <c r="P20" i="1"/>
  <c r="E18" i="6" s="1"/>
  <c r="P19" i="1"/>
  <c r="E17" i="6" s="1"/>
  <c r="P18" i="1"/>
  <c r="E16" i="6" s="1"/>
  <c r="P17" i="1"/>
  <c r="E15" i="6" s="1"/>
  <c r="P15" i="1"/>
  <c r="E13" i="6" s="1"/>
  <c r="P14" i="1"/>
  <c r="E12" i="6" s="1"/>
  <c r="P13" i="1"/>
  <c r="E11" i="6" s="1"/>
  <c r="P12" i="1"/>
  <c r="E10" i="6" s="1"/>
  <c r="P11" i="1"/>
  <c r="E9" i="6" s="1"/>
  <c r="P9" i="1"/>
  <c r="E7" i="6" s="1"/>
  <c r="P8" i="1"/>
  <c r="P6" i="1"/>
  <c r="E4" i="6" s="1"/>
  <c r="P5" i="1"/>
  <c r="Q5" i="1" l="1"/>
  <c r="Q29" i="1"/>
  <c r="DS29" i="1" s="1"/>
  <c r="E25" i="6"/>
  <c r="Q9" i="1"/>
  <c r="DS9" i="1" s="1"/>
  <c r="E6" i="6"/>
  <c r="Q73" i="1"/>
  <c r="E67" i="6"/>
  <c r="E3" i="6"/>
  <c r="Q94" i="1"/>
  <c r="DS94" i="1" s="1"/>
  <c r="E87" i="6"/>
  <c r="Q61" i="1"/>
  <c r="DS61" i="1" s="1"/>
  <c r="Q16" i="1"/>
  <c r="Q80" i="1"/>
  <c r="DS80" i="1" s="1"/>
  <c r="Q83" i="1"/>
  <c r="DS83" i="1" s="1"/>
  <c r="Q7" i="1" l="1"/>
  <c r="AE7" i="1" s="1"/>
  <c r="DS5" i="1"/>
  <c r="F67" i="6"/>
  <c r="DS73" i="1"/>
  <c r="F14" i="6"/>
  <c r="DS16" i="1"/>
  <c r="Q96" i="1"/>
  <c r="F88" i="6"/>
  <c r="Q63" i="1"/>
  <c r="F56" i="6"/>
  <c r="Q10" i="1"/>
  <c r="F7" i="6"/>
  <c r="Q84" i="1"/>
  <c r="F77" i="6"/>
  <c r="Q81" i="1"/>
  <c r="F74" i="6"/>
  <c r="Q30" i="1"/>
  <c r="F26" i="6"/>
  <c r="AB7" i="1" l="1"/>
  <c r="K10" i="7" s="1"/>
  <c r="Z7" i="1"/>
  <c r="F90" i="6"/>
  <c r="DS96" i="1"/>
  <c r="F27" i="6"/>
  <c r="DS30" i="1"/>
  <c r="F8" i="6"/>
  <c r="DS10" i="1"/>
  <c r="F5" i="6"/>
  <c r="DS7" i="1"/>
  <c r="F75" i="6"/>
  <c r="DS81" i="1"/>
  <c r="F78" i="6"/>
  <c r="DS84" i="1"/>
  <c r="AA7" i="1"/>
  <c r="F58" i="6"/>
  <c r="DS63" i="1"/>
  <c r="BR16" i="1"/>
  <c r="D14" i="6"/>
  <c r="AH16" i="1"/>
  <c r="AG16" i="1"/>
  <c r="S16" i="1"/>
  <c r="AQ16" i="1" s="1"/>
  <c r="EF16" i="1" s="1"/>
  <c r="BQ16" i="1"/>
  <c r="F15" i="12" s="1"/>
  <c r="G16" i="1"/>
  <c r="C14" i="6"/>
  <c r="P59" i="7" l="1"/>
  <c r="J10" i="7"/>
  <c r="BS7" i="1"/>
  <c r="J5" i="6"/>
  <c r="DT7" i="1"/>
  <c r="H16" i="1"/>
  <c r="DI16" i="1" s="1"/>
  <c r="DH16" i="1"/>
  <c r="AC7" i="1"/>
  <c r="BT7" i="1" s="1"/>
  <c r="EE7" i="1" s="1"/>
  <c r="M10" i="7"/>
  <c r="G15" i="12"/>
  <c r="T89" i="13"/>
  <c r="G89" i="13"/>
  <c r="CN16" i="1"/>
  <c r="CO16" i="1"/>
  <c r="CU16" i="1"/>
  <c r="CT16" i="1"/>
  <c r="N16" i="1"/>
  <c r="DO16" i="1" s="1"/>
  <c r="BO16" i="1"/>
  <c r="V16" i="1"/>
  <c r="W16" i="1"/>
  <c r="I16" i="1" l="1"/>
  <c r="DJ16" i="1" s="1"/>
  <c r="ED7" i="1"/>
  <c r="H6" i="12"/>
  <c r="CK7" i="1"/>
  <c r="D7" i="14" s="1"/>
  <c r="CJ7" i="1"/>
  <c r="C7" i="14" s="1"/>
  <c r="CM7" i="1"/>
  <c r="I6" i="12"/>
  <c r="CL7" i="1"/>
  <c r="E7" i="14" s="1"/>
  <c r="C15" i="12"/>
  <c r="S89" i="13"/>
  <c r="F89" i="13"/>
  <c r="E89" i="13"/>
  <c r="CQ16" i="1"/>
  <c r="CP16" i="1"/>
  <c r="BR10" i="1"/>
  <c r="AV10" i="1"/>
  <c r="AU10" i="1"/>
  <c r="D8" i="6"/>
  <c r="AH10" i="1"/>
  <c r="AI10" i="1" s="1"/>
  <c r="AL10" i="1" s="1"/>
  <c r="EJ10" i="1" s="1"/>
  <c r="AG10" i="1"/>
  <c r="S10" i="1"/>
  <c r="BQ10" i="1"/>
  <c r="F9" i="12" s="1"/>
  <c r="G10" i="1"/>
  <c r="DH10" i="1" s="1"/>
  <c r="F10" i="1"/>
  <c r="DG10" i="1" s="1"/>
  <c r="R10" i="1" l="1"/>
  <c r="DQ10" i="1" s="1"/>
  <c r="AQ10" i="1"/>
  <c r="EF10" i="1" s="1"/>
  <c r="BP16" i="1"/>
  <c r="D15" i="12" s="1"/>
  <c r="R89" i="13"/>
  <c r="BC10" i="1"/>
  <c r="BD10" i="1" s="1"/>
  <c r="CX7" i="1"/>
  <c r="CY7" i="1" s="1"/>
  <c r="H7" i="14" s="1"/>
  <c r="F7" i="14"/>
  <c r="CV7" i="1"/>
  <c r="CW7" i="1" s="1"/>
  <c r="J10" i="1"/>
  <c r="DN10" i="1" s="1"/>
  <c r="AO10" i="1"/>
  <c r="DY10" i="1" s="1"/>
  <c r="AP10" i="1"/>
  <c r="DZ10" i="1" s="1"/>
  <c r="L10" i="1"/>
  <c r="DL10" i="1" s="1"/>
  <c r="AN10" i="1"/>
  <c r="DX10" i="1" s="1"/>
  <c r="K10" i="1"/>
  <c r="AM10" i="1"/>
  <c r="G9" i="12"/>
  <c r="T88" i="13"/>
  <c r="G88" i="13"/>
  <c r="H10" i="1"/>
  <c r="CU10" i="1"/>
  <c r="CT10" i="1"/>
  <c r="CO10" i="1"/>
  <c r="CN10" i="1"/>
  <c r="C8" i="6"/>
  <c r="T10" i="1"/>
  <c r="DP10" i="1" s="1"/>
  <c r="AK10" i="1"/>
  <c r="EI10" i="1" s="1"/>
  <c r="AJ10" i="1"/>
  <c r="EH10" i="1" s="1"/>
  <c r="V10" i="1"/>
  <c r="W10" i="1"/>
  <c r="BO10" i="1"/>
  <c r="BQ8" i="1"/>
  <c r="F7" i="12" s="1"/>
  <c r="BQ9" i="1"/>
  <c r="F8" i="12" s="1"/>
  <c r="BQ11" i="1"/>
  <c r="F10" i="12" s="1"/>
  <c r="BQ12" i="1"/>
  <c r="F11" i="12" s="1"/>
  <c r="BQ13" i="1"/>
  <c r="F12" i="12" s="1"/>
  <c r="BQ14" i="1"/>
  <c r="F13" i="12" s="1"/>
  <c r="BQ15" i="1"/>
  <c r="F14" i="12" s="1"/>
  <c r="BQ17" i="1"/>
  <c r="F16" i="12" s="1"/>
  <c r="BQ18" i="1"/>
  <c r="F17" i="12" s="1"/>
  <c r="BQ19" i="1"/>
  <c r="F18" i="12" s="1"/>
  <c r="BQ20" i="1"/>
  <c r="F19" i="12" s="1"/>
  <c r="BQ21" i="1"/>
  <c r="F20" i="12" s="1"/>
  <c r="BQ22" i="1"/>
  <c r="F21" i="12" s="1"/>
  <c r="BQ23" i="1"/>
  <c r="BQ24" i="1"/>
  <c r="F22" i="12" s="1"/>
  <c r="BQ25" i="1"/>
  <c r="F23" i="12" s="1"/>
  <c r="BQ26" i="1"/>
  <c r="F24" i="12" s="1"/>
  <c r="BQ27" i="1"/>
  <c r="F25" i="12" s="1"/>
  <c r="BQ28" i="1"/>
  <c r="F26" i="12" s="1"/>
  <c r="BQ29" i="1"/>
  <c r="F27" i="12" s="1"/>
  <c r="BQ31" i="1"/>
  <c r="F29" i="12" s="1"/>
  <c r="BQ32" i="1"/>
  <c r="F30" i="12" s="1"/>
  <c r="BQ33" i="1"/>
  <c r="F31" i="12" s="1"/>
  <c r="BQ34" i="1"/>
  <c r="F32" i="12" s="1"/>
  <c r="BQ35" i="1"/>
  <c r="F33" i="12" s="1"/>
  <c r="BQ36" i="1"/>
  <c r="BQ37" i="1"/>
  <c r="F34" i="12" s="1"/>
  <c r="BQ38" i="1"/>
  <c r="F35" i="12" s="1"/>
  <c r="BQ39" i="1"/>
  <c r="F36" i="12" s="1"/>
  <c r="BQ40" i="1"/>
  <c r="F37" i="12" s="1"/>
  <c r="BQ41" i="1"/>
  <c r="F38" i="12" s="1"/>
  <c r="BQ42" i="1"/>
  <c r="F39" i="12" s="1"/>
  <c r="BQ43" i="1"/>
  <c r="F40" i="12" s="1"/>
  <c r="BQ44" i="1"/>
  <c r="F41" i="12" s="1"/>
  <c r="BQ45" i="1"/>
  <c r="F42" i="12" s="1"/>
  <c r="BQ46" i="1"/>
  <c r="F43" i="12" s="1"/>
  <c r="BQ47" i="1"/>
  <c r="F44" i="12" s="1"/>
  <c r="BQ48" i="1"/>
  <c r="F45" i="12" s="1"/>
  <c r="BQ49" i="1"/>
  <c r="F46" i="12" s="1"/>
  <c r="BQ50" i="1"/>
  <c r="F47" i="12" s="1"/>
  <c r="BQ51" i="1"/>
  <c r="F48" i="12" s="1"/>
  <c r="BQ52" i="1"/>
  <c r="F49" i="12" s="1"/>
  <c r="BQ53" i="1"/>
  <c r="F50" i="12" s="1"/>
  <c r="BQ54" i="1"/>
  <c r="F51" i="12" s="1"/>
  <c r="BQ55" i="1"/>
  <c r="F52" i="12" s="1"/>
  <c r="BQ56" i="1"/>
  <c r="F53" i="12" s="1"/>
  <c r="BQ57" i="1"/>
  <c r="F54" i="12" s="1"/>
  <c r="BQ58" i="1"/>
  <c r="F55" i="12" s="1"/>
  <c r="BQ59" i="1"/>
  <c r="BQ60" i="1"/>
  <c r="F56" i="12" s="1"/>
  <c r="BQ61" i="1"/>
  <c r="F57" i="12" s="1"/>
  <c r="BQ62" i="1"/>
  <c r="F58" i="12" s="1"/>
  <c r="BQ64" i="1"/>
  <c r="F60" i="12" s="1"/>
  <c r="BQ65" i="1"/>
  <c r="F61" i="12" s="1"/>
  <c r="BQ66" i="1"/>
  <c r="F62" i="12" s="1"/>
  <c r="BQ67" i="1"/>
  <c r="F63" i="12" s="1"/>
  <c r="BQ68" i="1"/>
  <c r="F64" i="12" s="1"/>
  <c r="BQ69" i="1"/>
  <c r="F65" i="12" s="1"/>
  <c r="BQ70" i="1"/>
  <c r="F66" i="12" s="1"/>
  <c r="BQ72" i="1"/>
  <c r="BQ73" i="1"/>
  <c r="F68" i="12" s="1"/>
  <c r="BQ74" i="1"/>
  <c r="F69" i="12" s="1"/>
  <c r="BQ75" i="1"/>
  <c r="F70" i="12" s="1"/>
  <c r="BQ76" i="1"/>
  <c r="F71" i="12" s="1"/>
  <c r="BQ77" i="1"/>
  <c r="F72" i="12" s="1"/>
  <c r="BQ78" i="1"/>
  <c r="F73" i="12" s="1"/>
  <c r="BQ79" i="1"/>
  <c r="F74" i="12" s="1"/>
  <c r="BQ80" i="1"/>
  <c r="F75" i="12" s="1"/>
  <c r="BQ82" i="1"/>
  <c r="F77" i="12" s="1"/>
  <c r="BQ83" i="1"/>
  <c r="F78" i="12" s="1"/>
  <c r="BQ85" i="1"/>
  <c r="F80" i="12" s="1"/>
  <c r="BQ86" i="1"/>
  <c r="F81" i="12" s="1"/>
  <c r="BQ87" i="1"/>
  <c r="F82" i="12" s="1"/>
  <c r="BQ88" i="1"/>
  <c r="F83" i="12" s="1"/>
  <c r="BQ89" i="1"/>
  <c r="F84" i="12" s="1"/>
  <c r="BQ90" i="1"/>
  <c r="F85" i="12" s="1"/>
  <c r="BQ91" i="1"/>
  <c r="F86" i="12" s="1"/>
  <c r="BQ92" i="1"/>
  <c r="F87" i="12" s="1"/>
  <c r="BQ93" i="1"/>
  <c r="F88" i="12" s="1"/>
  <c r="BQ94" i="1"/>
  <c r="F89" i="12" s="1"/>
  <c r="BQ95" i="1"/>
  <c r="F90" i="12" s="1"/>
  <c r="BQ6" i="1"/>
  <c r="F5" i="12" s="1"/>
  <c r="BQ5" i="1"/>
  <c r="F4" i="12" s="1"/>
  <c r="BQ4" i="1"/>
  <c r="F3" i="12" s="1"/>
  <c r="BQ3" i="1"/>
  <c r="DK10" i="1" l="1"/>
  <c r="E9" i="12"/>
  <c r="CS16" i="1"/>
  <c r="CR16" i="1"/>
  <c r="I10" i="1"/>
  <c r="DJ10" i="1" s="1"/>
  <c r="DI10" i="1"/>
  <c r="G7" i="14"/>
  <c r="DB7" i="1"/>
  <c r="Q7" i="14"/>
  <c r="P7" i="14"/>
  <c r="R7" i="14"/>
  <c r="C9" i="12"/>
  <c r="S88" i="13"/>
  <c r="F88" i="13"/>
  <c r="CO6" i="1"/>
  <c r="CN6" i="1"/>
  <c r="CN95" i="1"/>
  <c r="CO95" i="1"/>
  <c r="CN89" i="1"/>
  <c r="CO89" i="1"/>
  <c r="CO82" i="1"/>
  <c r="CN82" i="1"/>
  <c r="CN75" i="1"/>
  <c r="CO75" i="1"/>
  <c r="CO68" i="1"/>
  <c r="CN68" i="1"/>
  <c r="CN61" i="1"/>
  <c r="CO61" i="1"/>
  <c r="CO55" i="1"/>
  <c r="CN55" i="1"/>
  <c r="CO49" i="1"/>
  <c r="CN49" i="1"/>
  <c r="CO43" i="1"/>
  <c r="CN43" i="1"/>
  <c r="CO37" i="1"/>
  <c r="CN37" i="1"/>
  <c r="CN31" i="1"/>
  <c r="CO31" i="1"/>
  <c r="CO24" i="1"/>
  <c r="CN24" i="1"/>
  <c r="CO18" i="1"/>
  <c r="CN18" i="1"/>
  <c r="CN11" i="1"/>
  <c r="CO11" i="1"/>
  <c r="CO94" i="1"/>
  <c r="CN94" i="1"/>
  <c r="CO80" i="1"/>
  <c r="CN80" i="1"/>
  <c r="CO67" i="1"/>
  <c r="CN67" i="1"/>
  <c r="CO54" i="1"/>
  <c r="CN54" i="1"/>
  <c r="CN48" i="1"/>
  <c r="CO48" i="1"/>
  <c r="CN36" i="1"/>
  <c r="CO36" i="1"/>
  <c r="CX36" i="1" s="1"/>
  <c r="CY36" i="1" s="1"/>
  <c r="CO29" i="1"/>
  <c r="CN29" i="1"/>
  <c r="CN23" i="1"/>
  <c r="CO23" i="1"/>
  <c r="CX23" i="1" s="1"/>
  <c r="CY23" i="1" s="1"/>
  <c r="CN17" i="1"/>
  <c r="CO17" i="1"/>
  <c r="CO9" i="1"/>
  <c r="CN9" i="1"/>
  <c r="CO88" i="1"/>
  <c r="CN88" i="1"/>
  <c r="CO74" i="1"/>
  <c r="CN74" i="1"/>
  <c r="CN60" i="1"/>
  <c r="CO60" i="1"/>
  <c r="CO42" i="1"/>
  <c r="CN42" i="1"/>
  <c r="CN93" i="1"/>
  <c r="CO93" i="1"/>
  <c r="CN87" i="1"/>
  <c r="CO87" i="1"/>
  <c r="CN79" i="1"/>
  <c r="CO79" i="1"/>
  <c r="CN73" i="1"/>
  <c r="CO73" i="1"/>
  <c r="CN66" i="1"/>
  <c r="CO66" i="1"/>
  <c r="CO59" i="1"/>
  <c r="CX59" i="1" s="1"/>
  <c r="CY59" i="1" s="1"/>
  <c r="CN59" i="1"/>
  <c r="CN53" i="1"/>
  <c r="CO53" i="1"/>
  <c r="CN47" i="1"/>
  <c r="CO47" i="1"/>
  <c r="CN41" i="1"/>
  <c r="CO41" i="1"/>
  <c r="CN35" i="1"/>
  <c r="CO35" i="1"/>
  <c r="CN28" i="1"/>
  <c r="CO28" i="1"/>
  <c r="CN22" i="1"/>
  <c r="CO22" i="1"/>
  <c r="CO15" i="1"/>
  <c r="CN15" i="1"/>
  <c r="CO8" i="1"/>
  <c r="CN8" i="1"/>
  <c r="CO92" i="1"/>
  <c r="CN92" i="1"/>
  <c r="CO86" i="1"/>
  <c r="CN86" i="1"/>
  <c r="CO78" i="1"/>
  <c r="CN78" i="1"/>
  <c r="CO72" i="1"/>
  <c r="CN72" i="1"/>
  <c r="CN65" i="1"/>
  <c r="CO65" i="1"/>
  <c r="CO58" i="1"/>
  <c r="CN58" i="1"/>
  <c r="CN52" i="1"/>
  <c r="CO52" i="1"/>
  <c r="CO46" i="1"/>
  <c r="CN46" i="1"/>
  <c r="CN40" i="1"/>
  <c r="CO40" i="1"/>
  <c r="CN34" i="1"/>
  <c r="CO34" i="1"/>
  <c r="CN27" i="1"/>
  <c r="CO27" i="1"/>
  <c r="CN21" i="1"/>
  <c r="CO21" i="1"/>
  <c r="CN14" i="1"/>
  <c r="CO14" i="1"/>
  <c r="CN91" i="1"/>
  <c r="CO91" i="1"/>
  <c r="CO70" i="1"/>
  <c r="CN70" i="1"/>
  <c r="CO57" i="1"/>
  <c r="CN57" i="1"/>
  <c r="CO51" i="1"/>
  <c r="CN51" i="1"/>
  <c r="CO45" i="1"/>
  <c r="CN45" i="1"/>
  <c r="CO33" i="1"/>
  <c r="CN33" i="1"/>
  <c r="CO26" i="1"/>
  <c r="CN26" i="1"/>
  <c r="CO20" i="1"/>
  <c r="CN20" i="1"/>
  <c r="CN13" i="1"/>
  <c r="CO13" i="1"/>
  <c r="CO4" i="1"/>
  <c r="CN4" i="1"/>
  <c r="CQ10" i="1"/>
  <c r="CP10" i="1"/>
  <c r="CN85" i="1"/>
  <c r="CO85" i="1"/>
  <c r="CN77" i="1"/>
  <c r="CO77" i="1"/>
  <c r="CO64" i="1"/>
  <c r="CN64" i="1"/>
  <c r="CO39" i="1"/>
  <c r="CN39" i="1"/>
  <c r="CO5" i="1"/>
  <c r="CN5" i="1"/>
  <c r="CO90" i="1"/>
  <c r="CN90" i="1"/>
  <c r="CN83" i="1"/>
  <c r="CO83" i="1"/>
  <c r="CO76" i="1"/>
  <c r="CN76" i="1"/>
  <c r="CN69" i="1"/>
  <c r="CO69" i="1"/>
  <c r="CO62" i="1"/>
  <c r="CN62" i="1"/>
  <c r="CN56" i="1"/>
  <c r="CO56" i="1"/>
  <c r="CN50" i="1"/>
  <c r="CO50" i="1"/>
  <c r="CN44" i="1"/>
  <c r="CO44" i="1"/>
  <c r="CN38" i="1"/>
  <c r="CO38" i="1"/>
  <c r="CO32" i="1"/>
  <c r="CN32" i="1"/>
  <c r="CN25" i="1"/>
  <c r="CO25" i="1"/>
  <c r="CO19" i="1"/>
  <c r="CN19" i="1"/>
  <c r="CO12" i="1"/>
  <c r="CN12" i="1"/>
  <c r="X10" i="1"/>
  <c r="H8" i="6" s="1"/>
  <c r="G8" i="6"/>
  <c r="BR96" i="1"/>
  <c r="BB96" i="1"/>
  <c r="AV96" i="1"/>
  <c r="AU96" i="1"/>
  <c r="AT96" i="1"/>
  <c r="AG96" i="1"/>
  <c r="S96" i="1"/>
  <c r="BQ96" i="1"/>
  <c r="F91" i="12" s="1"/>
  <c r="G96" i="1"/>
  <c r="DH96" i="1" s="1"/>
  <c r="F96" i="1"/>
  <c r="DG96" i="1" s="1"/>
  <c r="BR84" i="1"/>
  <c r="D78" i="6"/>
  <c r="AH84" i="1"/>
  <c r="AI84" i="1" s="1"/>
  <c r="AL84" i="1" s="1"/>
  <c r="EJ84" i="1" s="1"/>
  <c r="AG84" i="1"/>
  <c r="S84" i="1"/>
  <c r="AQ84" i="1" s="1"/>
  <c r="EF84" i="1" s="1"/>
  <c r="BQ84" i="1"/>
  <c r="F79" i="12" s="1"/>
  <c r="G84" i="1"/>
  <c r="DH84" i="1" s="1"/>
  <c r="F84" i="1"/>
  <c r="DG84" i="1" s="1"/>
  <c r="BR81" i="1"/>
  <c r="D75" i="6"/>
  <c r="AH81" i="1"/>
  <c r="AI81" i="1" s="1"/>
  <c r="AL81" i="1" s="1"/>
  <c r="EJ81" i="1" s="1"/>
  <c r="AG81" i="1"/>
  <c r="S81" i="1"/>
  <c r="BQ81" i="1"/>
  <c r="F76" i="12" s="1"/>
  <c r="G81" i="1"/>
  <c r="DH81" i="1" s="1"/>
  <c r="F81" i="1"/>
  <c r="DG81" i="1" s="1"/>
  <c r="BR71" i="1"/>
  <c r="D66" i="6"/>
  <c r="AG71" i="1"/>
  <c r="S71" i="1"/>
  <c r="BQ71" i="1"/>
  <c r="F67" i="12" s="1"/>
  <c r="G71" i="1"/>
  <c r="DH71" i="1" s="1"/>
  <c r="F71" i="1"/>
  <c r="DG71" i="1" s="1"/>
  <c r="D58" i="6"/>
  <c r="S63" i="1"/>
  <c r="BQ63" i="1"/>
  <c r="F59" i="12" s="1"/>
  <c r="G63" i="1"/>
  <c r="DH63" i="1" s="1"/>
  <c r="F63" i="1"/>
  <c r="DG63" i="1" s="1"/>
  <c r="BR63" i="1"/>
  <c r="AG63" i="1"/>
  <c r="AH30" i="1"/>
  <c r="AI30" i="1" s="1"/>
  <c r="AL30" i="1" s="1"/>
  <c r="EJ30" i="1" s="1"/>
  <c r="AG30" i="1"/>
  <c r="BR30" i="1"/>
  <c r="BO29" i="1"/>
  <c r="BR29" i="1"/>
  <c r="S30" i="1"/>
  <c r="BQ30" i="1"/>
  <c r="F28" i="12" s="1"/>
  <c r="G30" i="1"/>
  <c r="DH30" i="1" s="1"/>
  <c r="F30" i="1"/>
  <c r="DG30" i="1" s="1"/>
  <c r="BR92" i="1"/>
  <c r="BR93" i="1"/>
  <c r="BR94" i="1"/>
  <c r="BR95" i="1"/>
  <c r="BR5" i="1"/>
  <c r="BR6" i="1"/>
  <c r="BR8" i="1"/>
  <c r="BR9" i="1"/>
  <c r="BR11" i="1"/>
  <c r="BR12" i="1"/>
  <c r="BR13" i="1"/>
  <c r="BR14" i="1"/>
  <c r="BR15" i="1"/>
  <c r="BR17" i="1"/>
  <c r="BR18" i="1"/>
  <c r="BR19" i="1"/>
  <c r="BR20" i="1"/>
  <c r="BR21" i="1"/>
  <c r="BR22" i="1"/>
  <c r="BR24" i="1"/>
  <c r="BR25" i="1"/>
  <c r="BR26" i="1"/>
  <c r="BR27" i="1"/>
  <c r="BR28" i="1"/>
  <c r="BR31" i="1"/>
  <c r="BR32" i="1"/>
  <c r="BR33" i="1"/>
  <c r="BR34" i="1"/>
  <c r="BR35" i="1"/>
  <c r="BR37" i="1"/>
  <c r="BR38" i="1"/>
  <c r="BR39" i="1"/>
  <c r="BR40" i="1"/>
  <c r="BR41" i="1"/>
  <c r="BR42" i="1"/>
  <c r="BR43" i="1"/>
  <c r="BR44" i="1"/>
  <c r="BR45" i="1"/>
  <c r="BR46" i="1"/>
  <c r="BR47" i="1"/>
  <c r="BR48" i="1"/>
  <c r="BR49" i="1"/>
  <c r="BR50" i="1"/>
  <c r="BR51" i="1"/>
  <c r="BR52" i="1"/>
  <c r="BR53" i="1"/>
  <c r="BR54" i="1"/>
  <c r="BR55" i="1"/>
  <c r="BR56" i="1"/>
  <c r="BR57" i="1"/>
  <c r="BR58" i="1"/>
  <c r="BR60" i="1"/>
  <c r="BR61" i="1"/>
  <c r="BR62" i="1"/>
  <c r="BR64" i="1"/>
  <c r="BR65" i="1"/>
  <c r="BR66" i="1"/>
  <c r="BR67" i="1"/>
  <c r="BR68" i="1"/>
  <c r="BR69" i="1"/>
  <c r="BR70" i="1"/>
  <c r="BR72" i="1"/>
  <c r="BR73" i="1"/>
  <c r="BR74" i="1"/>
  <c r="BR75" i="1"/>
  <c r="BR76" i="1"/>
  <c r="BR77" i="1"/>
  <c r="BR78" i="1"/>
  <c r="BR79" i="1"/>
  <c r="BR80" i="1"/>
  <c r="BR82" i="1"/>
  <c r="BR83" i="1"/>
  <c r="BR85" i="1"/>
  <c r="BR86" i="1"/>
  <c r="BR87" i="1"/>
  <c r="BR88" i="1"/>
  <c r="BR89" i="1"/>
  <c r="BR90" i="1"/>
  <c r="BR91" i="1"/>
  <c r="BR4" i="1"/>
  <c r="BO5" i="1"/>
  <c r="BO6" i="1"/>
  <c r="BO8" i="1"/>
  <c r="BO9" i="1"/>
  <c r="BO11" i="1"/>
  <c r="BO12" i="1"/>
  <c r="BO13" i="1"/>
  <c r="BO14" i="1"/>
  <c r="BO15" i="1"/>
  <c r="BO17" i="1"/>
  <c r="BO18" i="1"/>
  <c r="BO19" i="1"/>
  <c r="BO20" i="1"/>
  <c r="BO21" i="1"/>
  <c r="BO22" i="1"/>
  <c r="BO24" i="1"/>
  <c r="BO25" i="1"/>
  <c r="BO26" i="1"/>
  <c r="BO27" i="1"/>
  <c r="BO28" i="1"/>
  <c r="BO31" i="1"/>
  <c r="BO32" i="1"/>
  <c r="BO33" i="1"/>
  <c r="BO34" i="1"/>
  <c r="BO35" i="1"/>
  <c r="BO37" i="1"/>
  <c r="BO38" i="1"/>
  <c r="BO39" i="1"/>
  <c r="BO40" i="1"/>
  <c r="BO41" i="1"/>
  <c r="BO42" i="1"/>
  <c r="BO43" i="1"/>
  <c r="BO44" i="1"/>
  <c r="BO45" i="1"/>
  <c r="BO46" i="1"/>
  <c r="BO47" i="1"/>
  <c r="BO48" i="1"/>
  <c r="BO49" i="1"/>
  <c r="BO50" i="1"/>
  <c r="BO51" i="1"/>
  <c r="BO52" i="1"/>
  <c r="BO53" i="1"/>
  <c r="BO54" i="1"/>
  <c r="BO55" i="1"/>
  <c r="BO56" i="1"/>
  <c r="BO57" i="1"/>
  <c r="BO58" i="1"/>
  <c r="BO60" i="1"/>
  <c r="BO61" i="1"/>
  <c r="BO62" i="1"/>
  <c r="BO64" i="1"/>
  <c r="BO65" i="1"/>
  <c r="BO66" i="1"/>
  <c r="BO67" i="1"/>
  <c r="BO68" i="1"/>
  <c r="BO69" i="1"/>
  <c r="BO70" i="1"/>
  <c r="BO72" i="1"/>
  <c r="BO73" i="1"/>
  <c r="BO74" i="1"/>
  <c r="BO75" i="1"/>
  <c r="BO76" i="1"/>
  <c r="BO77" i="1"/>
  <c r="BO78" i="1"/>
  <c r="BO79" i="1"/>
  <c r="BO80" i="1"/>
  <c r="BO82" i="1"/>
  <c r="BO83" i="1"/>
  <c r="BO85" i="1"/>
  <c r="BO86" i="1"/>
  <c r="BO87" i="1"/>
  <c r="BO88" i="1"/>
  <c r="BO89" i="1"/>
  <c r="BO90" i="1"/>
  <c r="BO91" i="1"/>
  <c r="BO92" i="1"/>
  <c r="BO93" i="1"/>
  <c r="BO94" i="1"/>
  <c r="BO95" i="1"/>
  <c r="BO4" i="1"/>
  <c r="BP3" i="1"/>
  <c r="I5" i="1"/>
  <c r="DJ5" i="1" s="1"/>
  <c r="I6" i="1"/>
  <c r="DJ6" i="1" s="1"/>
  <c r="I8" i="1"/>
  <c r="DJ8" i="1" s="1"/>
  <c r="I9" i="1"/>
  <c r="DJ9" i="1" s="1"/>
  <c r="I11" i="1"/>
  <c r="DJ11" i="1" s="1"/>
  <c r="I12" i="1"/>
  <c r="DJ12" i="1" s="1"/>
  <c r="I13" i="1"/>
  <c r="DJ13" i="1" s="1"/>
  <c r="I14" i="1"/>
  <c r="DJ14" i="1" s="1"/>
  <c r="I15" i="1"/>
  <c r="DJ15" i="1" s="1"/>
  <c r="I17" i="1"/>
  <c r="DJ17" i="1" s="1"/>
  <c r="I18" i="1"/>
  <c r="DJ18" i="1" s="1"/>
  <c r="I19" i="1"/>
  <c r="DJ19" i="1" s="1"/>
  <c r="I20" i="1"/>
  <c r="DJ20" i="1" s="1"/>
  <c r="I21" i="1"/>
  <c r="DJ21" i="1" s="1"/>
  <c r="I22" i="1"/>
  <c r="DJ22" i="1" s="1"/>
  <c r="I24" i="1"/>
  <c r="DJ24" i="1" s="1"/>
  <c r="I25" i="1"/>
  <c r="DJ25" i="1" s="1"/>
  <c r="I26" i="1"/>
  <c r="DJ26" i="1" s="1"/>
  <c r="I27" i="1"/>
  <c r="DJ27" i="1" s="1"/>
  <c r="I28" i="1"/>
  <c r="DJ28" i="1" s="1"/>
  <c r="I29" i="1"/>
  <c r="DJ29" i="1" s="1"/>
  <c r="I31" i="1"/>
  <c r="DJ31" i="1" s="1"/>
  <c r="I32" i="1"/>
  <c r="DJ32" i="1" s="1"/>
  <c r="I33" i="1"/>
  <c r="DJ33" i="1" s="1"/>
  <c r="I34" i="1"/>
  <c r="DJ34" i="1" s="1"/>
  <c r="I35" i="1"/>
  <c r="DJ35" i="1" s="1"/>
  <c r="I37" i="1"/>
  <c r="DJ37" i="1" s="1"/>
  <c r="I38" i="1"/>
  <c r="DJ38" i="1" s="1"/>
  <c r="I39" i="1"/>
  <c r="DJ39" i="1" s="1"/>
  <c r="I40" i="1"/>
  <c r="DJ40" i="1" s="1"/>
  <c r="I41" i="1"/>
  <c r="DJ41" i="1" s="1"/>
  <c r="I42" i="1"/>
  <c r="DJ42" i="1" s="1"/>
  <c r="I43" i="1"/>
  <c r="DJ43" i="1" s="1"/>
  <c r="I44" i="1"/>
  <c r="DJ44" i="1" s="1"/>
  <c r="I45" i="1"/>
  <c r="DJ45" i="1" s="1"/>
  <c r="I46" i="1"/>
  <c r="DJ46" i="1" s="1"/>
  <c r="I47" i="1"/>
  <c r="DJ47" i="1" s="1"/>
  <c r="I48" i="1"/>
  <c r="DJ48" i="1" s="1"/>
  <c r="I49" i="1"/>
  <c r="DJ49" i="1" s="1"/>
  <c r="I50" i="1"/>
  <c r="DJ50" i="1" s="1"/>
  <c r="I51" i="1"/>
  <c r="DJ51" i="1" s="1"/>
  <c r="I52" i="1"/>
  <c r="DJ52" i="1" s="1"/>
  <c r="I53" i="1"/>
  <c r="DJ53" i="1" s="1"/>
  <c r="I54" i="1"/>
  <c r="DJ54" i="1" s="1"/>
  <c r="I55" i="1"/>
  <c r="DJ55" i="1" s="1"/>
  <c r="I56" i="1"/>
  <c r="DJ56" i="1" s="1"/>
  <c r="I57" i="1"/>
  <c r="DJ57" i="1" s="1"/>
  <c r="I58" i="1"/>
  <c r="DJ58" i="1" s="1"/>
  <c r="I60" i="1"/>
  <c r="DJ60" i="1" s="1"/>
  <c r="I61" i="1"/>
  <c r="DJ61" i="1" s="1"/>
  <c r="I62" i="1"/>
  <c r="DJ62" i="1" s="1"/>
  <c r="I64" i="1"/>
  <c r="DJ64" i="1" s="1"/>
  <c r="I65" i="1"/>
  <c r="DJ65" i="1" s="1"/>
  <c r="I66" i="1"/>
  <c r="DJ66" i="1" s="1"/>
  <c r="I67" i="1"/>
  <c r="DJ67" i="1" s="1"/>
  <c r="I68" i="1"/>
  <c r="DJ68" i="1" s="1"/>
  <c r="I69" i="1"/>
  <c r="DJ69" i="1" s="1"/>
  <c r="I70" i="1"/>
  <c r="DJ70" i="1" s="1"/>
  <c r="I72" i="1"/>
  <c r="I73" i="1"/>
  <c r="DJ73" i="1" s="1"/>
  <c r="I74" i="1"/>
  <c r="DJ74" i="1" s="1"/>
  <c r="I75" i="1"/>
  <c r="DJ75" i="1" s="1"/>
  <c r="I76" i="1"/>
  <c r="DJ76" i="1" s="1"/>
  <c r="I77" i="1"/>
  <c r="DJ77" i="1" s="1"/>
  <c r="I78" i="1"/>
  <c r="DJ78" i="1" s="1"/>
  <c r="I79" i="1"/>
  <c r="DJ79" i="1" s="1"/>
  <c r="I80" i="1"/>
  <c r="DJ80" i="1" s="1"/>
  <c r="I82" i="1"/>
  <c r="DJ82" i="1" s="1"/>
  <c r="I83" i="1"/>
  <c r="DJ83" i="1" s="1"/>
  <c r="I85" i="1"/>
  <c r="DJ85" i="1" s="1"/>
  <c r="I86" i="1"/>
  <c r="DJ86" i="1" s="1"/>
  <c r="I87" i="1"/>
  <c r="DJ87" i="1" s="1"/>
  <c r="I88" i="1"/>
  <c r="DJ88" i="1" s="1"/>
  <c r="I89" i="1"/>
  <c r="DJ89" i="1" s="1"/>
  <c r="I90" i="1"/>
  <c r="DJ90" i="1" s="1"/>
  <c r="I91" i="1"/>
  <c r="DJ91" i="1" s="1"/>
  <c r="I92" i="1"/>
  <c r="DJ92" i="1" s="1"/>
  <c r="I93" i="1"/>
  <c r="DJ93" i="1" s="1"/>
  <c r="I94" i="1"/>
  <c r="DJ94" i="1" s="1"/>
  <c r="I95" i="1"/>
  <c r="DJ95" i="1" s="1"/>
  <c r="I4" i="1"/>
  <c r="DJ4" i="1" s="1"/>
  <c r="R71" i="1" l="1"/>
  <c r="DQ71" i="1" s="1"/>
  <c r="AQ71" i="1"/>
  <c r="EF71" i="1" s="1"/>
  <c r="R63" i="1"/>
  <c r="DQ63" i="1" s="1"/>
  <c r="AQ63" i="1"/>
  <c r="EF63" i="1" s="1"/>
  <c r="R81" i="1"/>
  <c r="DQ81" i="1" s="1"/>
  <c r="AQ81" i="1"/>
  <c r="EF81" i="1" s="1"/>
  <c r="R30" i="1"/>
  <c r="DQ30" i="1" s="1"/>
  <c r="AQ30" i="1"/>
  <c r="EF30" i="1" s="1"/>
  <c r="R96" i="1"/>
  <c r="DQ96" i="1" s="1"/>
  <c r="AQ96" i="1"/>
  <c r="EF96" i="1" s="1"/>
  <c r="R88" i="13"/>
  <c r="E88" i="13"/>
  <c r="BP10" i="1"/>
  <c r="D9" i="12" s="1"/>
  <c r="BP72" i="1"/>
  <c r="DJ72" i="1"/>
  <c r="D90" i="6"/>
  <c r="DF96" i="1"/>
  <c r="M7" i="14"/>
  <c r="O7" i="14"/>
  <c r="N7" i="14"/>
  <c r="AN30" i="1"/>
  <c r="DX30" i="1" s="1"/>
  <c r="K30" i="1"/>
  <c r="AM30" i="1"/>
  <c r="J30" i="1"/>
  <c r="DN30" i="1" s="1"/>
  <c r="AP30" i="1"/>
  <c r="DZ30" i="1" s="1"/>
  <c r="AO30" i="1"/>
  <c r="DY30" i="1" s="1"/>
  <c r="L30" i="1"/>
  <c r="DL30" i="1" s="1"/>
  <c r="AP96" i="1"/>
  <c r="DZ96" i="1" s="1"/>
  <c r="AO96" i="1"/>
  <c r="DY96" i="1" s="1"/>
  <c r="J96" i="1"/>
  <c r="DN96" i="1" s="1"/>
  <c r="AN96" i="1"/>
  <c r="DX96" i="1" s="1"/>
  <c r="AM96" i="1"/>
  <c r="L96" i="1"/>
  <c r="DL96" i="1" s="1"/>
  <c r="K96" i="1"/>
  <c r="AP71" i="1"/>
  <c r="DZ71" i="1" s="1"/>
  <c r="L71" i="1"/>
  <c r="DL71" i="1" s="1"/>
  <c r="K71" i="1"/>
  <c r="AN71" i="1"/>
  <c r="DX71" i="1" s="1"/>
  <c r="AM71" i="1"/>
  <c r="J71" i="1"/>
  <c r="DN71" i="1" s="1"/>
  <c r="AO71" i="1"/>
  <c r="DY71" i="1" s="1"/>
  <c r="AN84" i="1"/>
  <c r="DX84" i="1" s="1"/>
  <c r="J84" i="1"/>
  <c r="DN84" i="1" s="1"/>
  <c r="AM84" i="1"/>
  <c r="L84" i="1"/>
  <c r="DL84" i="1" s="1"/>
  <c r="AP84" i="1"/>
  <c r="DZ84" i="1" s="1"/>
  <c r="AO84" i="1"/>
  <c r="DY84" i="1" s="1"/>
  <c r="K84" i="1"/>
  <c r="L63" i="1"/>
  <c r="DL63" i="1" s="1"/>
  <c r="AO63" i="1"/>
  <c r="DY63" i="1" s="1"/>
  <c r="AN63" i="1"/>
  <c r="DX63" i="1" s="1"/>
  <c r="J63" i="1"/>
  <c r="DN63" i="1" s="1"/>
  <c r="AM63" i="1"/>
  <c r="AP63" i="1"/>
  <c r="DZ63" i="1" s="1"/>
  <c r="K63" i="1"/>
  <c r="L81" i="1"/>
  <c r="DL81" i="1" s="1"/>
  <c r="AP81" i="1"/>
  <c r="DZ81" i="1" s="1"/>
  <c r="AO81" i="1"/>
  <c r="DY81" i="1" s="1"/>
  <c r="K81" i="1"/>
  <c r="J81" i="1"/>
  <c r="DN81" i="1" s="1"/>
  <c r="AN81" i="1"/>
  <c r="DX81" i="1" s="1"/>
  <c r="AM81" i="1"/>
  <c r="BP4" i="1"/>
  <c r="D3" i="12" s="1"/>
  <c r="E73" i="13"/>
  <c r="BP83" i="1"/>
  <c r="D78" i="12" s="1"/>
  <c r="R87" i="13"/>
  <c r="BP69" i="1"/>
  <c r="D65" i="12" s="1"/>
  <c r="R44" i="13"/>
  <c r="BP55" i="1"/>
  <c r="D52" i="12" s="1"/>
  <c r="E72" i="13"/>
  <c r="BP43" i="1"/>
  <c r="D40" i="12" s="1"/>
  <c r="E43" i="13"/>
  <c r="BP29" i="1"/>
  <c r="D27" i="12" s="1"/>
  <c r="R85" i="13"/>
  <c r="BP15" i="1"/>
  <c r="D14" i="12" s="1"/>
  <c r="R7" i="13"/>
  <c r="C89" i="12"/>
  <c r="S68" i="13"/>
  <c r="C75" i="12"/>
  <c r="S23" i="13"/>
  <c r="C63" i="12"/>
  <c r="F49" i="13"/>
  <c r="C50" i="12"/>
  <c r="F2" i="13"/>
  <c r="C38" i="12"/>
  <c r="F63" i="13"/>
  <c r="C24" i="12"/>
  <c r="F40" i="13"/>
  <c r="C11" i="12"/>
  <c r="F13" i="13"/>
  <c r="G81" i="12"/>
  <c r="G69" i="13"/>
  <c r="G54" i="12"/>
  <c r="G62" i="13"/>
  <c r="G42" i="12"/>
  <c r="G60" i="13"/>
  <c r="G30" i="12"/>
  <c r="G56" i="13"/>
  <c r="G16" i="12"/>
  <c r="G8" i="13"/>
  <c r="G88" i="12"/>
  <c r="T78" i="13"/>
  <c r="G28" i="12"/>
  <c r="G79" i="13"/>
  <c r="T79" i="13"/>
  <c r="G41" i="12"/>
  <c r="G41" i="13"/>
  <c r="G14" i="12"/>
  <c r="T7" i="13"/>
  <c r="G87" i="12"/>
  <c r="G18" i="13"/>
  <c r="BP82" i="1"/>
  <c r="D77" i="12" s="1"/>
  <c r="R12" i="13"/>
  <c r="G80" i="12"/>
  <c r="G6" i="13"/>
  <c r="BP80" i="1"/>
  <c r="D75" i="12" s="1"/>
  <c r="R23" i="13"/>
  <c r="BP67" i="1"/>
  <c r="D63" i="12" s="1"/>
  <c r="E49" i="13"/>
  <c r="BP53" i="1"/>
  <c r="D50" i="12" s="1"/>
  <c r="E2" i="13"/>
  <c r="BP41" i="1"/>
  <c r="D38" i="12" s="1"/>
  <c r="E63" i="13"/>
  <c r="BP27" i="1"/>
  <c r="D25" i="12" s="1"/>
  <c r="E38" i="13"/>
  <c r="BP13" i="1"/>
  <c r="D12" i="12" s="1"/>
  <c r="R45" i="13"/>
  <c r="C87" i="12"/>
  <c r="F18" i="13"/>
  <c r="C73" i="12"/>
  <c r="F27" i="13"/>
  <c r="C61" i="12"/>
  <c r="F50" i="13"/>
  <c r="C48" i="12"/>
  <c r="F5" i="13"/>
  <c r="C36" i="12"/>
  <c r="F58" i="13"/>
  <c r="C22" i="12"/>
  <c r="F48" i="13"/>
  <c r="C8" i="12"/>
  <c r="S66" i="13"/>
  <c r="G78" i="12"/>
  <c r="T87" i="13"/>
  <c r="G65" i="12"/>
  <c r="T44" i="13"/>
  <c r="G52" i="12"/>
  <c r="G72" i="13"/>
  <c r="G40" i="12"/>
  <c r="G43" i="13"/>
  <c r="G26" i="12"/>
  <c r="G32" i="13"/>
  <c r="T32" i="13"/>
  <c r="G13" i="12"/>
  <c r="T76" i="13"/>
  <c r="C88" i="12"/>
  <c r="S78" i="13"/>
  <c r="G53" i="12"/>
  <c r="G61" i="13"/>
  <c r="BP93" i="1"/>
  <c r="D88" i="12" s="1"/>
  <c r="R78" i="13"/>
  <c r="BP52" i="1"/>
  <c r="D49" i="12" s="1"/>
  <c r="E75" i="13"/>
  <c r="BP12" i="1"/>
  <c r="D11" i="12" s="1"/>
  <c r="E13" i="13"/>
  <c r="C72" i="12"/>
  <c r="F70" i="13"/>
  <c r="C60" i="12"/>
  <c r="F71" i="13"/>
  <c r="C35" i="12"/>
  <c r="F54" i="13"/>
  <c r="C7" i="12"/>
  <c r="S22" i="13"/>
  <c r="G77" i="12"/>
  <c r="T12" i="13"/>
  <c r="G64" i="12"/>
  <c r="G55" i="13"/>
  <c r="G51" i="12"/>
  <c r="G53" i="13"/>
  <c r="G39" i="12"/>
  <c r="G57" i="13"/>
  <c r="G25" i="12"/>
  <c r="G38" i="13"/>
  <c r="G12" i="12"/>
  <c r="T45" i="13"/>
  <c r="BP95" i="1"/>
  <c r="D90" i="12" s="1"/>
  <c r="R17" i="13"/>
  <c r="G29" i="12"/>
  <c r="G52" i="13"/>
  <c r="BP79" i="1"/>
  <c r="D74" i="12" s="1"/>
  <c r="R36" i="13"/>
  <c r="BP40" i="1"/>
  <c r="D37" i="12" s="1"/>
  <c r="E33" i="13"/>
  <c r="C86" i="12"/>
  <c r="F14" i="13"/>
  <c r="C21" i="12"/>
  <c r="F28" i="13"/>
  <c r="BP92" i="1"/>
  <c r="D87" i="12" s="1"/>
  <c r="E18" i="13"/>
  <c r="BP78" i="1"/>
  <c r="D73" i="12" s="1"/>
  <c r="E27" i="13"/>
  <c r="BP65" i="1"/>
  <c r="D61" i="12" s="1"/>
  <c r="E50" i="13"/>
  <c r="BP51" i="1"/>
  <c r="D48" i="12" s="1"/>
  <c r="E5" i="13"/>
  <c r="BP39" i="1"/>
  <c r="D36" i="12" s="1"/>
  <c r="E58" i="13"/>
  <c r="BP25" i="1"/>
  <c r="D23" i="12" s="1"/>
  <c r="E15" i="13"/>
  <c r="BP11" i="1"/>
  <c r="D10" i="12" s="1"/>
  <c r="E34" i="13"/>
  <c r="C85" i="12"/>
  <c r="F24" i="13"/>
  <c r="C71" i="12"/>
  <c r="F9" i="13"/>
  <c r="C58" i="12"/>
  <c r="S77" i="13"/>
  <c r="C46" i="12"/>
  <c r="F20" i="13"/>
  <c r="C34" i="12"/>
  <c r="F11" i="13"/>
  <c r="C20" i="12"/>
  <c r="F35" i="13"/>
  <c r="C5" i="12"/>
  <c r="F29" i="13"/>
  <c r="G75" i="12"/>
  <c r="T23" i="13"/>
  <c r="G63" i="12"/>
  <c r="G49" i="13"/>
  <c r="G50" i="12"/>
  <c r="G2" i="13"/>
  <c r="G38" i="12"/>
  <c r="G63" i="13"/>
  <c r="G24" i="12"/>
  <c r="G40" i="13"/>
  <c r="G11" i="12"/>
  <c r="G13" i="13"/>
  <c r="C74" i="12"/>
  <c r="S36" i="13"/>
  <c r="G66" i="12"/>
  <c r="T86" i="13"/>
  <c r="BP94" i="1"/>
  <c r="D89" i="12" s="1"/>
  <c r="R68" i="13"/>
  <c r="BP66" i="1"/>
  <c r="D62" i="12" s="1"/>
  <c r="E59" i="13"/>
  <c r="BP26" i="1"/>
  <c r="D24" i="12" s="1"/>
  <c r="E40" i="13"/>
  <c r="C47" i="12"/>
  <c r="F4" i="13"/>
  <c r="BP91" i="1"/>
  <c r="D86" i="12" s="1"/>
  <c r="E14" i="13"/>
  <c r="BP77" i="1"/>
  <c r="D72" i="12" s="1"/>
  <c r="E70" i="13"/>
  <c r="BP64" i="1"/>
  <c r="D60" i="12" s="1"/>
  <c r="E71" i="13"/>
  <c r="BP50" i="1"/>
  <c r="D47" i="12" s="1"/>
  <c r="E4" i="13"/>
  <c r="BP38" i="1"/>
  <c r="D35" i="12" s="1"/>
  <c r="E54" i="13"/>
  <c r="BP24" i="1"/>
  <c r="D22" i="12" s="1"/>
  <c r="E48" i="13"/>
  <c r="BP9" i="1"/>
  <c r="D8" i="12" s="1"/>
  <c r="R66" i="13"/>
  <c r="C84" i="12"/>
  <c r="F19" i="13"/>
  <c r="C70" i="12"/>
  <c r="F65" i="13"/>
  <c r="C57" i="12"/>
  <c r="S67" i="13"/>
  <c r="C45" i="12"/>
  <c r="F10" i="13"/>
  <c r="C33" i="12"/>
  <c r="F47" i="13"/>
  <c r="C19" i="12"/>
  <c r="F21" i="13"/>
  <c r="C4" i="12"/>
  <c r="F64" i="13"/>
  <c r="G74" i="12"/>
  <c r="T36" i="13"/>
  <c r="G62" i="12"/>
  <c r="G59" i="13"/>
  <c r="G49" i="12"/>
  <c r="G75" i="13"/>
  <c r="G37" i="12"/>
  <c r="G33" i="13"/>
  <c r="G23" i="12"/>
  <c r="G15" i="13"/>
  <c r="G10" i="12"/>
  <c r="G34" i="13"/>
  <c r="G67" i="12"/>
  <c r="T81" i="13"/>
  <c r="G81" i="13"/>
  <c r="BP14" i="1"/>
  <c r="D13" i="12" s="1"/>
  <c r="R76" i="13"/>
  <c r="BP37" i="1"/>
  <c r="D34" i="12" s="1"/>
  <c r="E11" i="13"/>
  <c r="C69" i="12"/>
  <c r="F30" i="13"/>
  <c r="C56" i="12"/>
  <c r="S37" i="13"/>
  <c r="C44" i="12"/>
  <c r="F3" i="13"/>
  <c r="C32" i="12"/>
  <c r="F46" i="13"/>
  <c r="C18" i="12"/>
  <c r="F39" i="13"/>
  <c r="G3" i="12"/>
  <c r="G73" i="13"/>
  <c r="G73" i="12"/>
  <c r="G27" i="13"/>
  <c r="G61" i="12"/>
  <c r="G50" i="13"/>
  <c r="G48" i="12"/>
  <c r="G5" i="13"/>
  <c r="G36" i="12"/>
  <c r="G58" i="13"/>
  <c r="G22" i="12"/>
  <c r="G48" i="13"/>
  <c r="G8" i="12"/>
  <c r="T66" i="13"/>
  <c r="G59" i="12"/>
  <c r="G80" i="13"/>
  <c r="T80" i="13"/>
  <c r="C10" i="12"/>
  <c r="F34" i="13"/>
  <c r="BP89" i="1"/>
  <c r="D84" i="12" s="1"/>
  <c r="E19" i="13"/>
  <c r="BP48" i="1"/>
  <c r="D45" i="12" s="1"/>
  <c r="E10" i="13"/>
  <c r="BP21" i="1"/>
  <c r="D20" i="12" s="1"/>
  <c r="E35" i="13"/>
  <c r="BP6" i="1"/>
  <c r="D5" i="12" s="1"/>
  <c r="E29" i="13"/>
  <c r="C82" i="12"/>
  <c r="F16" i="13"/>
  <c r="C68" i="12"/>
  <c r="F74" i="13"/>
  <c r="C55" i="12"/>
  <c r="F31" i="13"/>
  <c r="C43" i="12"/>
  <c r="F51" i="13"/>
  <c r="C31" i="12"/>
  <c r="F42" i="13"/>
  <c r="C17" i="12"/>
  <c r="F25" i="13"/>
  <c r="G86" i="12"/>
  <c r="G14" i="13"/>
  <c r="G72" i="12"/>
  <c r="G70" i="13"/>
  <c r="G60" i="12"/>
  <c r="G71" i="13"/>
  <c r="G47" i="12"/>
  <c r="G4" i="13"/>
  <c r="G35" i="12"/>
  <c r="G54" i="13"/>
  <c r="G21" i="12"/>
  <c r="G28" i="13"/>
  <c r="G7" i="12"/>
  <c r="T22" i="13"/>
  <c r="G76" i="12"/>
  <c r="G82" i="13"/>
  <c r="T82" i="13"/>
  <c r="BP28" i="1"/>
  <c r="D26" i="12" s="1"/>
  <c r="R32" i="13"/>
  <c r="E32" i="13"/>
  <c r="C23" i="12"/>
  <c r="F15" i="13"/>
  <c r="BP90" i="1"/>
  <c r="D85" i="12" s="1"/>
  <c r="E24" i="13"/>
  <c r="BP22" i="1"/>
  <c r="D21" i="12" s="1"/>
  <c r="E28" i="13"/>
  <c r="BP75" i="1"/>
  <c r="D70" i="12" s="1"/>
  <c r="E65" i="13"/>
  <c r="BP61" i="1"/>
  <c r="D57" i="12" s="1"/>
  <c r="R67" i="13"/>
  <c r="BP35" i="1"/>
  <c r="D33" i="12" s="1"/>
  <c r="E47" i="13"/>
  <c r="BP88" i="1"/>
  <c r="D83" i="12" s="1"/>
  <c r="E26" i="13"/>
  <c r="BP74" i="1"/>
  <c r="D69" i="12" s="1"/>
  <c r="E30" i="13"/>
  <c r="BP60" i="1"/>
  <c r="D56" i="12" s="1"/>
  <c r="R37" i="13"/>
  <c r="BP47" i="1"/>
  <c r="D44" i="12" s="1"/>
  <c r="E3" i="13"/>
  <c r="BP34" i="1"/>
  <c r="D32" i="12" s="1"/>
  <c r="E46" i="13"/>
  <c r="BP20" i="1"/>
  <c r="D19" i="12" s="1"/>
  <c r="E21" i="13"/>
  <c r="BP5" i="1"/>
  <c r="D4" i="12" s="1"/>
  <c r="E64" i="13"/>
  <c r="C81" i="12"/>
  <c r="F69" i="13"/>
  <c r="C54" i="12"/>
  <c r="F62" i="13"/>
  <c r="C42" i="12"/>
  <c r="F60" i="13"/>
  <c r="C30" i="12"/>
  <c r="F56" i="13"/>
  <c r="C16" i="12"/>
  <c r="F8" i="13"/>
  <c r="G85" i="12"/>
  <c r="G24" i="13"/>
  <c r="G71" i="12"/>
  <c r="G9" i="13"/>
  <c r="G58" i="12"/>
  <c r="T77" i="13"/>
  <c r="G46" i="12"/>
  <c r="G20" i="13"/>
  <c r="G34" i="12"/>
  <c r="G11" i="13"/>
  <c r="G20" i="12"/>
  <c r="G35" i="13"/>
  <c r="G5" i="12"/>
  <c r="G29" i="13"/>
  <c r="BP68" i="1"/>
  <c r="D64" i="12" s="1"/>
  <c r="E55" i="13"/>
  <c r="C37" i="12"/>
  <c r="F33" i="13"/>
  <c r="BP49" i="1"/>
  <c r="D46" i="12" s="1"/>
  <c r="E20" i="13"/>
  <c r="BP33" i="1"/>
  <c r="D31" i="12" s="1"/>
  <c r="E42" i="13"/>
  <c r="C66" i="12"/>
  <c r="S86" i="13"/>
  <c r="C29" i="12"/>
  <c r="F52" i="13"/>
  <c r="C14" i="12"/>
  <c r="S7" i="13"/>
  <c r="G70" i="12"/>
  <c r="G65" i="13"/>
  <c r="G45" i="12"/>
  <c r="G10" i="13"/>
  <c r="G19" i="12"/>
  <c r="G21" i="13"/>
  <c r="G4" i="12"/>
  <c r="G64" i="13"/>
  <c r="G79" i="12"/>
  <c r="G83" i="13"/>
  <c r="T83" i="13"/>
  <c r="BP54" i="1"/>
  <c r="D51" i="12" s="1"/>
  <c r="E53" i="13"/>
  <c r="C49" i="12"/>
  <c r="F75" i="13"/>
  <c r="BP62" i="1"/>
  <c r="D58" i="12" s="1"/>
  <c r="R77" i="13"/>
  <c r="C83" i="12"/>
  <c r="F26" i="13"/>
  <c r="BP58" i="1"/>
  <c r="D55" i="12" s="1"/>
  <c r="E31" i="13"/>
  <c r="C53" i="12"/>
  <c r="F61" i="13"/>
  <c r="G57" i="12"/>
  <c r="T67" i="13"/>
  <c r="BP45" i="1"/>
  <c r="D42" i="12" s="1"/>
  <c r="E60" i="13"/>
  <c r="BP18" i="1"/>
  <c r="D17" i="12" s="1"/>
  <c r="E25" i="13"/>
  <c r="C3" i="12"/>
  <c r="F73" i="13"/>
  <c r="C78" i="12"/>
  <c r="S87" i="13"/>
  <c r="C65" i="12"/>
  <c r="S44" i="13"/>
  <c r="C52" i="12"/>
  <c r="F72" i="13"/>
  <c r="C40" i="12"/>
  <c r="F43" i="13"/>
  <c r="C26" i="12"/>
  <c r="S32" i="13"/>
  <c r="F32" i="13"/>
  <c r="C13" i="12"/>
  <c r="S76" i="13"/>
  <c r="G83" i="12"/>
  <c r="G26" i="13"/>
  <c r="G69" i="12"/>
  <c r="G30" i="13"/>
  <c r="G56" i="12"/>
  <c r="T37" i="13"/>
  <c r="G44" i="12"/>
  <c r="G3" i="13"/>
  <c r="G32" i="12"/>
  <c r="G46" i="13"/>
  <c r="G18" i="12"/>
  <c r="G39" i="13"/>
  <c r="G90" i="12"/>
  <c r="T17" i="13"/>
  <c r="G27" i="12"/>
  <c r="T85" i="13"/>
  <c r="G91" i="12"/>
  <c r="T84" i="13"/>
  <c r="G84" i="13"/>
  <c r="BP42" i="1"/>
  <c r="D39" i="12" s="1"/>
  <c r="E57" i="13"/>
  <c r="C62" i="12"/>
  <c r="F59" i="13"/>
  <c r="BP76" i="1"/>
  <c r="D71" i="12" s="1"/>
  <c r="E9" i="13"/>
  <c r="BP8" i="1"/>
  <c r="D7" i="12" s="1"/>
  <c r="R22" i="13"/>
  <c r="BP87" i="1"/>
  <c r="D82" i="12" s="1"/>
  <c r="E16" i="13"/>
  <c r="BP73" i="1"/>
  <c r="D68" i="12" s="1"/>
  <c r="E74" i="13"/>
  <c r="BP46" i="1"/>
  <c r="D43" i="12" s="1"/>
  <c r="E51" i="13"/>
  <c r="BP19" i="1"/>
  <c r="D18" i="12" s="1"/>
  <c r="E39" i="13"/>
  <c r="C80" i="12"/>
  <c r="F6" i="13"/>
  <c r="C41" i="12"/>
  <c r="F41" i="13"/>
  <c r="G84" i="12"/>
  <c r="G19" i="13"/>
  <c r="G33" i="12"/>
  <c r="G47" i="13"/>
  <c r="BP86" i="1"/>
  <c r="D81" i="12" s="1"/>
  <c r="E69" i="13"/>
  <c r="BP57" i="1"/>
  <c r="D54" i="12" s="1"/>
  <c r="E62" i="13"/>
  <c r="BP32" i="1"/>
  <c r="D30" i="12" s="1"/>
  <c r="E56" i="13"/>
  <c r="BP85" i="1"/>
  <c r="D80" i="12" s="1"/>
  <c r="E6" i="13"/>
  <c r="BP70" i="1"/>
  <c r="D66" i="12" s="1"/>
  <c r="R86" i="13"/>
  <c r="BP56" i="1"/>
  <c r="D53" i="12" s="1"/>
  <c r="E61" i="13"/>
  <c r="BP44" i="1"/>
  <c r="D41" i="12" s="1"/>
  <c r="E41" i="13"/>
  <c r="BP31" i="1"/>
  <c r="D29" i="12" s="1"/>
  <c r="E52" i="13"/>
  <c r="BP17" i="1"/>
  <c r="D16" i="12" s="1"/>
  <c r="E8" i="13"/>
  <c r="C90" i="12"/>
  <c r="S17" i="13"/>
  <c r="C77" i="12"/>
  <c r="S12" i="13"/>
  <c r="C64" i="12"/>
  <c r="F55" i="13"/>
  <c r="C51" i="12"/>
  <c r="F53" i="13"/>
  <c r="C39" i="12"/>
  <c r="F57" i="13"/>
  <c r="C25" i="12"/>
  <c r="F38" i="13"/>
  <c r="C12" i="12"/>
  <c r="S45" i="13"/>
  <c r="G82" i="12"/>
  <c r="G16" i="13"/>
  <c r="G68" i="12"/>
  <c r="G74" i="13"/>
  <c r="G55" i="12"/>
  <c r="G31" i="13"/>
  <c r="G43" i="12"/>
  <c r="G51" i="13"/>
  <c r="G31" i="12"/>
  <c r="G42" i="13"/>
  <c r="G17" i="12"/>
  <c r="G25" i="13"/>
  <c r="G89" i="12"/>
  <c r="T68" i="13"/>
  <c r="C27" i="12"/>
  <c r="S85" i="13"/>
  <c r="CV36" i="1"/>
  <c r="CW36" i="1" s="1"/>
  <c r="CV23" i="1"/>
  <c r="CW23" i="1" s="1"/>
  <c r="CV59" i="1"/>
  <c r="CW59" i="1" s="1"/>
  <c r="H63" i="1"/>
  <c r="H30" i="1"/>
  <c r="H81" i="1"/>
  <c r="DI81" i="1" s="1"/>
  <c r="H84" i="1"/>
  <c r="DI84" i="1" s="1"/>
  <c r="H96" i="1"/>
  <c r="DI96" i="1" s="1"/>
  <c r="CQ94" i="1"/>
  <c r="CP94" i="1"/>
  <c r="CS78" i="1"/>
  <c r="CQ90" i="1"/>
  <c r="CP90" i="1"/>
  <c r="CQ76" i="1"/>
  <c r="CP76" i="1"/>
  <c r="CQ49" i="1"/>
  <c r="CP49" i="1"/>
  <c r="CQ37" i="1"/>
  <c r="CP37" i="1"/>
  <c r="CQ21" i="1"/>
  <c r="CP21" i="1"/>
  <c r="CU80" i="1"/>
  <c r="CT80" i="1"/>
  <c r="CU67" i="1"/>
  <c r="CT67" i="1"/>
  <c r="CU41" i="1"/>
  <c r="CT41" i="1"/>
  <c r="CU26" i="1"/>
  <c r="CT26" i="1"/>
  <c r="CU12" i="1"/>
  <c r="CT12" i="1"/>
  <c r="CS64" i="1"/>
  <c r="CR64" i="1"/>
  <c r="CQ89" i="1"/>
  <c r="CP89" i="1"/>
  <c r="CQ75" i="1"/>
  <c r="CP75" i="1"/>
  <c r="CP61" i="1"/>
  <c r="CQ61" i="1"/>
  <c r="CP48" i="1"/>
  <c r="CQ48" i="1"/>
  <c r="CP35" i="1"/>
  <c r="CQ35" i="1"/>
  <c r="CP20" i="1"/>
  <c r="CQ20" i="1"/>
  <c r="CQ5" i="1"/>
  <c r="CP5" i="1"/>
  <c r="CU79" i="1"/>
  <c r="CT79" i="1"/>
  <c r="CU66" i="1"/>
  <c r="CT66" i="1"/>
  <c r="CU52" i="1"/>
  <c r="CT52" i="1"/>
  <c r="CU40" i="1"/>
  <c r="CT40" i="1"/>
  <c r="CU25" i="1"/>
  <c r="CT25" i="1"/>
  <c r="CU11" i="1"/>
  <c r="CT11" i="1"/>
  <c r="H71" i="1"/>
  <c r="CU71" i="1"/>
  <c r="CT71" i="1"/>
  <c r="CQ47" i="1"/>
  <c r="CP47" i="1"/>
  <c r="CU24" i="1"/>
  <c r="CT24" i="1"/>
  <c r="CQ60" i="1"/>
  <c r="CP60" i="1"/>
  <c r="CU65" i="1"/>
  <c r="CT65" i="1"/>
  <c r="CU63" i="1"/>
  <c r="CT63" i="1"/>
  <c r="CS6" i="1"/>
  <c r="CP58" i="1"/>
  <c r="CQ58" i="1"/>
  <c r="CQ18" i="1"/>
  <c r="CP18" i="1"/>
  <c r="CU91" i="1"/>
  <c r="CT91" i="1"/>
  <c r="CU64" i="1"/>
  <c r="CT64" i="1"/>
  <c r="CU38" i="1"/>
  <c r="CT38" i="1"/>
  <c r="CU22" i="1"/>
  <c r="CT22" i="1"/>
  <c r="CU8" i="1"/>
  <c r="CT8" i="1"/>
  <c r="CN71" i="1"/>
  <c r="CO71" i="1"/>
  <c r="CU81" i="1"/>
  <c r="CT81" i="1"/>
  <c r="CQ74" i="1"/>
  <c r="CP74" i="1"/>
  <c r="CU4" i="1"/>
  <c r="CT4" i="1"/>
  <c r="CU51" i="1"/>
  <c r="CT51" i="1"/>
  <c r="CQ73" i="1"/>
  <c r="CP73" i="1"/>
  <c r="CP33" i="1"/>
  <c r="CQ33" i="1"/>
  <c r="CU50" i="1"/>
  <c r="CT50" i="1"/>
  <c r="CQ72" i="1"/>
  <c r="CP72" i="1"/>
  <c r="CP32" i="1"/>
  <c r="CQ32" i="1"/>
  <c r="CU90" i="1"/>
  <c r="CT90" i="1"/>
  <c r="CU76" i="1"/>
  <c r="CT76" i="1"/>
  <c r="CU49" i="1"/>
  <c r="CT49" i="1"/>
  <c r="CU37" i="1"/>
  <c r="CT37" i="1"/>
  <c r="CU21" i="1"/>
  <c r="CT21" i="1"/>
  <c r="CU6" i="1"/>
  <c r="CT6" i="1"/>
  <c r="CN81" i="1"/>
  <c r="CO81" i="1"/>
  <c r="CR8" i="1"/>
  <c r="CQ34" i="1"/>
  <c r="CP34" i="1"/>
  <c r="CU78" i="1"/>
  <c r="CT78" i="1"/>
  <c r="CU9" i="1"/>
  <c r="CT9" i="1"/>
  <c r="CS89" i="1"/>
  <c r="CR89" i="1"/>
  <c r="CR48" i="1"/>
  <c r="CR21" i="1"/>
  <c r="CQ87" i="1"/>
  <c r="CP87" i="1"/>
  <c r="CP46" i="1"/>
  <c r="CQ46" i="1"/>
  <c r="CU77" i="1"/>
  <c r="CT77" i="1"/>
  <c r="CS34" i="1"/>
  <c r="CS5" i="1"/>
  <c r="CR5" i="1"/>
  <c r="CQ86" i="1"/>
  <c r="CP86" i="1"/>
  <c r="CP57" i="1"/>
  <c r="CQ57" i="1"/>
  <c r="CP45" i="1"/>
  <c r="CQ45" i="1"/>
  <c r="CP17" i="1"/>
  <c r="CQ17" i="1"/>
  <c r="CU62" i="1"/>
  <c r="CT62" i="1"/>
  <c r="CR58" i="1"/>
  <c r="CR33" i="1"/>
  <c r="CS33" i="1"/>
  <c r="CQ85" i="1"/>
  <c r="CP85" i="1"/>
  <c r="CQ70" i="1"/>
  <c r="CP70" i="1"/>
  <c r="CQ56" i="1"/>
  <c r="CP56" i="1"/>
  <c r="CQ44" i="1"/>
  <c r="CP44" i="1"/>
  <c r="CQ31" i="1"/>
  <c r="CP31" i="1"/>
  <c r="CQ15" i="1"/>
  <c r="CP15" i="1"/>
  <c r="CU89" i="1"/>
  <c r="CT89" i="1"/>
  <c r="CU75" i="1"/>
  <c r="CT75" i="1"/>
  <c r="CU61" i="1"/>
  <c r="CT61" i="1"/>
  <c r="CU48" i="1"/>
  <c r="CT48" i="1"/>
  <c r="CU35" i="1"/>
  <c r="CT35" i="1"/>
  <c r="CU20" i="1"/>
  <c r="CT20" i="1"/>
  <c r="CU5" i="1"/>
  <c r="CT5" i="1"/>
  <c r="CN63" i="1"/>
  <c r="CO63" i="1"/>
  <c r="CU84" i="1"/>
  <c r="CT84" i="1"/>
  <c r="CP19" i="1"/>
  <c r="CQ19" i="1"/>
  <c r="CQ69" i="1"/>
  <c r="CP69" i="1"/>
  <c r="CQ14" i="1"/>
  <c r="CP14" i="1"/>
  <c r="CU34" i="1"/>
  <c r="CT34" i="1"/>
  <c r="CU29" i="1"/>
  <c r="CT29" i="1"/>
  <c r="CO84" i="1"/>
  <c r="CN84" i="1"/>
  <c r="CQ88" i="1"/>
  <c r="CP88" i="1"/>
  <c r="CU39" i="1"/>
  <c r="CT39" i="1"/>
  <c r="CR72" i="1"/>
  <c r="CS72" i="1"/>
  <c r="CQ4" i="1"/>
  <c r="CP4" i="1"/>
  <c r="CQ83" i="1"/>
  <c r="CP83" i="1"/>
  <c r="CQ55" i="1"/>
  <c r="CP55" i="1"/>
  <c r="CQ43" i="1"/>
  <c r="CP43" i="1"/>
  <c r="CQ28" i="1"/>
  <c r="CP28" i="1"/>
  <c r="CU88" i="1"/>
  <c r="CT88" i="1"/>
  <c r="CU74" i="1"/>
  <c r="CT74" i="1"/>
  <c r="CU60" i="1"/>
  <c r="CT60" i="1"/>
  <c r="CU47" i="1"/>
  <c r="CT47" i="1"/>
  <c r="CU19" i="1"/>
  <c r="CT19" i="1"/>
  <c r="CU95" i="1"/>
  <c r="CT95" i="1"/>
  <c r="CU96" i="1"/>
  <c r="CT96" i="1"/>
  <c r="CS85" i="1"/>
  <c r="CQ95" i="1"/>
  <c r="CP95" i="1"/>
  <c r="CQ82" i="1"/>
  <c r="CP82" i="1"/>
  <c r="CQ68" i="1"/>
  <c r="CP68" i="1"/>
  <c r="CP54" i="1"/>
  <c r="CQ54" i="1"/>
  <c r="CP42" i="1"/>
  <c r="CQ42" i="1"/>
  <c r="CQ27" i="1"/>
  <c r="CP27" i="1"/>
  <c r="CP13" i="1"/>
  <c r="CQ13" i="1"/>
  <c r="CU87" i="1"/>
  <c r="CT87" i="1"/>
  <c r="CU73" i="1"/>
  <c r="CT73" i="1"/>
  <c r="CU58" i="1"/>
  <c r="CT58" i="1"/>
  <c r="CU46" i="1"/>
  <c r="CT46" i="1"/>
  <c r="CU33" i="1"/>
  <c r="CT33" i="1"/>
  <c r="CU18" i="1"/>
  <c r="CT18" i="1"/>
  <c r="CU94" i="1"/>
  <c r="CT94" i="1"/>
  <c r="CP29" i="1"/>
  <c r="CQ29" i="1"/>
  <c r="CU57" i="1"/>
  <c r="CT57" i="1"/>
  <c r="CQ80" i="1"/>
  <c r="CP80" i="1"/>
  <c r="CP26" i="1"/>
  <c r="CQ26" i="1"/>
  <c r="CU72" i="1"/>
  <c r="CT72" i="1"/>
  <c r="CU17" i="1"/>
  <c r="CT17" i="1"/>
  <c r="CO96" i="1"/>
  <c r="CN96" i="1"/>
  <c r="CR95" i="1"/>
  <c r="CS95" i="1"/>
  <c r="CR14" i="1"/>
  <c r="CS14" i="1"/>
  <c r="CQ52" i="1"/>
  <c r="CP52" i="1"/>
  <c r="CP25" i="1"/>
  <c r="CQ25" i="1"/>
  <c r="CU85" i="1"/>
  <c r="CT85" i="1"/>
  <c r="CU70" i="1"/>
  <c r="CT70" i="1"/>
  <c r="CU56" i="1"/>
  <c r="CT56" i="1"/>
  <c r="CU44" i="1"/>
  <c r="CT44" i="1"/>
  <c r="CU31" i="1"/>
  <c r="CT31" i="1"/>
  <c r="CU15" i="1"/>
  <c r="CT15" i="1"/>
  <c r="CU92" i="1"/>
  <c r="CT92" i="1"/>
  <c r="CS29" i="1"/>
  <c r="CR29" i="1"/>
  <c r="CQ53" i="1"/>
  <c r="CP53" i="1"/>
  <c r="CU86" i="1"/>
  <c r="CT86" i="1"/>
  <c r="CU45" i="1"/>
  <c r="CT45" i="1"/>
  <c r="CU93" i="1"/>
  <c r="CT93" i="1"/>
  <c r="CP66" i="1"/>
  <c r="CQ66" i="1"/>
  <c r="CS94" i="1"/>
  <c r="CR94" i="1"/>
  <c r="CR41" i="1"/>
  <c r="CS41" i="1"/>
  <c r="CS27" i="1"/>
  <c r="CR13" i="1"/>
  <c r="CS13" i="1"/>
  <c r="CQ92" i="1"/>
  <c r="CP92" i="1"/>
  <c r="CQ78" i="1"/>
  <c r="CP78" i="1"/>
  <c r="CQ65" i="1"/>
  <c r="CP65" i="1"/>
  <c r="CP51" i="1"/>
  <c r="CQ51" i="1"/>
  <c r="CP39" i="1"/>
  <c r="CQ39" i="1"/>
  <c r="CQ24" i="1"/>
  <c r="CP24" i="1"/>
  <c r="CP9" i="1"/>
  <c r="CQ9" i="1"/>
  <c r="CU83" i="1"/>
  <c r="CT83" i="1"/>
  <c r="CU69" i="1"/>
  <c r="CT69" i="1"/>
  <c r="CU55" i="1"/>
  <c r="CT55" i="1"/>
  <c r="CU43" i="1"/>
  <c r="CT43" i="1"/>
  <c r="CU28" i="1"/>
  <c r="CT28" i="1"/>
  <c r="CU14" i="1"/>
  <c r="CT14" i="1"/>
  <c r="CS69" i="1"/>
  <c r="CR69" i="1"/>
  <c r="CP67" i="1"/>
  <c r="CQ67" i="1"/>
  <c r="CQ41" i="1"/>
  <c r="CP41" i="1"/>
  <c r="CP12" i="1"/>
  <c r="CQ12" i="1"/>
  <c r="CU32" i="1"/>
  <c r="CT32" i="1"/>
  <c r="CU30" i="1"/>
  <c r="CT30" i="1"/>
  <c r="CS82" i="1"/>
  <c r="CR82" i="1"/>
  <c r="CS54" i="1"/>
  <c r="CR54" i="1"/>
  <c r="CQ93" i="1"/>
  <c r="CP93" i="1"/>
  <c r="CQ79" i="1"/>
  <c r="CP79" i="1"/>
  <c r="CP40" i="1"/>
  <c r="CQ40" i="1"/>
  <c r="CQ11" i="1"/>
  <c r="CP11" i="1"/>
  <c r="CS80" i="1"/>
  <c r="CR80" i="1"/>
  <c r="CS52" i="1"/>
  <c r="CR26" i="1"/>
  <c r="CS26" i="1"/>
  <c r="CR12" i="1"/>
  <c r="CQ91" i="1"/>
  <c r="CP91" i="1"/>
  <c r="CQ77" i="1"/>
  <c r="CP77" i="1"/>
  <c r="CP64" i="1"/>
  <c r="CQ64" i="1"/>
  <c r="CP50" i="1"/>
  <c r="CQ50" i="1"/>
  <c r="CP38" i="1"/>
  <c r="CQ38" i="1"/>
  <c r="CP22" i="1"/>
  <c r="CQ22" i="1"/>
  <c r="CQ8" i="1"/>
  <c r="CP8" i="1"/>
  <c r="CU82" i="1"/>
  <c r="CT82" i="1"/>
  <c r="CU68" i="1"/>
  <c r="CT68" i="1"/>
  <c r="CU54" i="1"/>
  <c r="CT54" i="1"/>
  <c r="CU42" i="1"/>
  <c r="CT42" i="1"/>
  <c r="CU27" i="1"/>
  <c r="CT27" i="1"/>
  <c r="CU13" i="1"/>
  <c r="CT13" i="1"/>
  <c r="CR37" i="1"/>
  <c r="CS37" i="1"/>
  <c r="CS83" i="1"/>
  <c r="CR83" i="1"/>
  <c r="CS92" i="1"/>
  <c r="CR92" i="1"/>
  <c r="CS39" i="1"/>
  <c r="CR39" i="1"/>
  <c r="CQ62" i="1"/>
  <c r="CP62" i="1"/>
  <c r="CQ6" i="1"/>
  <c r="CP6" i="1"/>
  <c r="CU53" i="1"/>
  <c r="CT53" i="1"/>
  <c r="CO30" i="1"/>
  <c r="CN30" i="1"/>
  <c r="C90" i="6"/>
  <c r="C66" i="6"/>
  <c r="C78" i="6"/>
  <c r="BO30" i="1"/>
  <c r="C27" i="6"/>
  <c r="BO81" i="1"/>
  <c r="C75" i="6"/>
  <c r="BO63" i="1"/>
  <c r="C58" i="6"/>
  <c r="W30" i="1"/>
  <c r="T71" i="1"/>
  <c r="T63" i="1"/>
  <c r="T30" i="1"/>
  <c r="V63" i="1"/>
  <c r="I81" i="1"/>
  <c r="DJ81" i="1" s="1"/>
  <c r="I84" i="1"/>
  <c r="DJ84" i="1" s="1"/>
  <c r="I96" i="1"/>
  <c r="DJ96" i="1" s="1"/>
  <c r="W96" i="1"/>
  <c r="BO71" i="1"/>
  <c r="V30" i="1"/>
  <c r="W71" i="1"/>
  <c r="W81" i="1"/>
  <c r="BO84" i="1"/>
  <c r="BO96" i="1"/>
  <c r="T96" i="1"/>
  <c r="V96" i="1"/>
  <c r="AK84" i="1"/>
  <c r="EI84" i="1" s="1"/>
  <c r="AJ84" i="1"/>
  <c r="EH84" i="1" s="1"/>
  <c r="R84" i="1"/>
  <c r="V84" i="1"/>
  <c r="W84" i="1"/>
  <c r="AK81" i="1"/>
  <c r="EI81" i="1" s="1"/>
  <c r="AJ81" i="1"/>
  <c r="EH81" i="1" s="1"/>
  <c r="T81" i="1"/>
  <c r="V81" i="1"/>
  <c r="V71" i="1"/>
  <c r="W63" i="1"/>
  <c r="AJ30" i="1"/>
  <c r="EH30" i="1" s="1"/>
  <c r="AK30" i="1"/>
  <c r="EI30" i="1" s="1"/>
  <c r="BT3" i="1"/>
  <c r="DK96" i="1" l="1"/>
  <c r="E91" i="12"/>
  <c r="DK30" i="1"/>
  <c r="E28" i="12"/>
  <c r="CR86" i="1"/>
  <c r="CS53" i="1"/>
  <c r="DK63" i="1"/>
  <c r="E59" i="12"/>
  <c r="CR53" i="1"/>
  <c r="DK81" i="1"/>
  <c r="E76" i="12"/>
  <c r="DK84" i="1"/>
  <c r="E79" i="12"/>
  <c r="DK71" i="1"/>
  <c r="E67" i="12"/>
  <c r="CS45" i="1"/>
  <c r="CS73" i="1"/>
  <c r="CR60" i="1"/>
  <c r="CS56" i="1"/>
  <c r="CR79" i="1"/>
  <c r="CS79" i="1"/>
  <c r="CS55" i="1"/>
  <c r="CR55" i="1"/>
  <c r="CR67" i="1"/>
  <c r="CS67" i="1"/>
  <c r="CR77" i="1"/>
  <c r="CR43" i="1"/>
  <c r="CS40" i="1"/>
  <c r="CR40" i="1"/>
  <c r="CS75" i="1"/>
  <c r="G90" i="6"/>
  <c r="DP96" i="1"/>
  <c r="G75" i="6"/>
  <c r="DP81" i="1"/>
  <c r="G27" i="6"/>
  <c r="DP30" i="1"/>
  <c r="I71" i="1"/>
  <c r="DJ71" i="1" s="1"/>
  <c r="DI71" i="1"/>
  <c r="I30" i="1"/>
  <c r="DJ30" i="1" s="1"/>
  <c r="DI30" i="1"/>
  <c r="G58" i="6"/>
  <c r="DP63" i="1"/>
  <c r="CS17" i="1"/>
  <c r="CS88" i="1"/>
  <c r="I63" i="1"/>
  <c r="DJ63" i="1" s="1"/>
  <c r="DI63" i="1"/>
  <c r="G66" i="6"/>
  <c r="DP71" i="1"/>
  <c r="CR88" i="1"/>
  <c r="CS47" i="1"/>
  <c r="CS10" i="1"/>
  <c r="CS38" i="1"/>
  <c r="CS11" i="1"/>
  <c r="CR10" i="1"/>
  <c r="T84" i="1"/>
  <c r="DQ84" i="1"/>
  <c r="CS32" i="1"/>
  <c r="CR49" i="1"/>
  <c r="CS51" i="1"/>
  <c r="CR19" i="1"/>
  <c r="CS12" i="1"/>
  <c r="CS76" i="1"/>
  <c r="CR74" i="1"/>
  <c r="CR52" i="1"/>
  <c r="CR34" i="1"/>
  <c r="CS21" i="1"/>
  <c r="CS43" i="1"/>
  <c r="CS15" i="1"/>
  <c r="CS60" i="1"/>
  <c r="CS48" i="1"/>
  <c r="CR9" i="1"/>
  <c r="CR15" i="1"/>
  <c r="CS24" i="1"/>
  <c r="CR24" i="1"/>
  <c r="CR35" i="1"/>
  <c r="CS66" i="1"/>
  <c r="CS20" i="1"/>
  <c r="CS35" i="1"/>
  <c r="CS50" i="1"/>
  <c r="CR4" i="1"/>
  <c r="CS4" i="1"/>
  <c r="CR20" i="1"/>
  <c r="CS90" i="1"/>
  <c r="CS25" i="1"/>
  <c r="CR93" i="1"/>
  <c r="CS74" i="1"/>
  <c r="CR6" i="1"/>
  <c r="CS91" i="1"/>
  <c r="CR66" i="1"/>
  <c r="CS93" i="1"/>
  <c r="CR91" i="1"/>
  <c r="CS65" i="1"/>
  <c r="CR78" i="1"/>
  <c r="CR47" i="1"/>
  <c r="CR75" i="1"/>
  <c r="CR38" i="1"/>
  <c r="CS31" i="1"/>
  <c r="CS70" i="1"/>
  <c r="CS77" i="1"/>
  <c r="CR11" i="1"/>
  <c r="CS49" i="1"/>
  <c r="CR51" i="1"/>
  <c r="CR17" i="1"/>
  <c r="CR32" i="1"/>
  <c r="CS87" i="1"/>
  <c r="CR31" i="1"/>
  <c r="CS8" i="1"/>
  <c r="CR76" i="1"/>
  <c r="CR56" i="1"/>
  <c r="CS86" i="1"/>
  <c r="CS19" i="1"/>
  <c r="CR70" i="1"/>
  <c r="CR90" i="1"/>
  <c r="CR85" i="1"/>
  <c r="CS58" i="1"/>
  <c r="CR18" i="1"/>
  <c r="CR73" i="1"/>
  <c r="CR87" i="1"/>
  <c r="CR45" i="1"/>
  <c r="CS9" i="1"/>
  <c r="CR25" i="1"/>
  <c r="CS62" i="1"/>
  <c r="CS18" i="1"/>
  <c r="CR62" i="1"/>
  <c r="CS28" i="1"/>
  <c r="CS68" i="1"/>
  <c r="CR44" i="1"/>
  <c r="CS57" i="1"/>
  <c r="CR22" i="1"/>
  <c r="CS46" i="1"/>
  <c r="CS61" i="1"/>
  <c r="CR65" i="1"/>
  <c r="CR42" i="1"/>
  <c r="CS42" i="1"/>
  <c r="CR28" i="1"/>
  <c r="CR27" i="1"/>
  <c r="CR68" i="1"/>
  <c r="CS44" i="1"/>
  <c r="CR57" i="1"/>
  <c r="CS22" i="1"/>
  <c r="CR46" i="1"/>
  <c r="CR61" i="1"/>
  <c r="CR50" i="1"/>
  <c r="C76" i="12"/>
  <c r="F82" i="13"/>
  <c r="S82" i="13"/>
  <c r="C28" i="12"/>
  <c r="F79" i="13"/>
  <c r="S79" i="13"/>
  <c r="C91" i="12"/>
  <c r="S84" i="13"/>
  <c r="F84" i="13"/>
  <c r="BP84" i="1"/>
  <c r="D79" i="12" s="1"/>
  <c r="R83" i="13"/>
  <c r="E83" i="13"/>
  <c r="C79" i="12"/>
  <c r="F83" i="13"/>
  <c r="S83" i="13"/>
  <c r="E79" i="13"/>
  <c r="BP96" i="1"/>
  <c r="D91" i="12" s="1"/>
  <c r="R84" i="13"/>
  <c r="E84" i="13"/>
  <c r="E80" i="13"/>
  <c r="BP81" i="1"/>
  <c r="D76" i="12" s="1"/>
  <c r="R82" i="13"/>
  <c r="E82" i="13"/>
  <c r="C67" i="12"/>
  <c r="S81" i="13"/>
  <c r="F81" i="13"/>
  <c r="C59" i="12"/>
  <c r="F80" i="13"/>
  <c r="S80" i="13"/>
  <c r="DB59" i="1"/>
  <c r="DB23" i="1"/>
  <c r="DB36" i="1"/>
  <c r="CQ71" i="1"/>
  <c r="CP71" i="1"/>
  <c r="CP63" i="1"/>
  <c r="CQ63" i="1"/>
  <c r="CQ81" i="1"/>
  <c r="CP81" i="1"/>
  <c r="CQ96" i="1"/>
  <c r="CP96" i="1"/>
  <c r="CQ30" i="1"/>
  <c r="CP30" i="1"/>
  <c r="CQ84" i="1"/>
  <c r="CP84" i="1"/>
  <c r="T4" i="1"/>
  <c r="X63" i="1"/>
  <c r="H58" i="6" s="1"/>
  <c r="X71" i="1"/>
  <c r="H66" i="6" s="1"/>
  <c r="X30" i="1"/>
  <c r="H27" i="6" s="1"/>
  <c r="X96" i="1"/>
  <c r="H90" i="6" s="1"/>
  <c r="X84" i="1"/>
  <c r="H78" i="6" s="1"/>
  <c r="X81" i="1"/>
  <c r="H75" i="6" s="1"/>
  <c r="R80" i="13" l="1"/>
  <c r="BP63" i="1"/>
  <c r="D59" i="12" s="1"/>
  <c r="E81" i="13"/>
  <c r="BP71" i="1"/>
  <c r="D67" i="12" s="1"/>
  <c r="R81" i="13"/>
  <c r="R79" i="13"/>
  <c r="G78" i="6"/>
  <c r="DP84" i="1"/>
  <c r="BP30" i="1"/>
  <c r="D28" i="12" s="1"/>
  <c r="CS84" i="1"/>
  <c r="X4" i="1"/>
  <c r="DP4" i="1"/>
  <c r="CS81" i="1"/>
  <c r="CR84" i="1"/>
  <c r="CR63" i="1"/>
  <c r="CS63" i="1"/>
  <c r="CS71" i="1"/>
  <c r="CR81" i="1"/>
  <c r="CR96" i="1"/>
  <c r="CS96" i="1"/>
  <c r="G2" i="6"/>
  <c r="CR71" i="1" l="1"/>
  <c r="CR30" i="1"/>
  <c r="CS30" i="1"/>
  <c r="K85" i="4"/>
  <c r="K84" i="4"/>
  <c r="K83" i="4"/>
  <c r="K82" i="4"/>
  <c r="K81" i="4"/>
  <c r="K80" i="4"/>
  <c r="K79" i="4"/>
  <c r="K78" i="4"/>
  <c r="K77" i="4"/>
  <c r="K76" i="4"/>
  <c r="K75" i="4"/>
  <c r="K74" i="4"/>
  <c r="K73" i="4"/>
  <c r="K72" i="4"/>
  <c r="K71" i="4"/>
  <c r="K70" i="4"/>
  <c r="K69" i="4"/>
  <c r="K68" i="4"/>
  <c r="K67" i="4"/>
  <c r="K66" i="4"/>
  <c r="K65" i="4"/>
  <c r="K64" i="4"/>
  <c r="K63" i="4"/>
  <c r="K62" i="4"/>
  <c r="K61" i="4"/>
  <c r="K60" i="4"/>
  <c r="K59" i="4"/>
  <c r="K58" i="4"/>
  <c r="K57" i="4"/>
  <c r="K56" i="4"/>
  <c r="K55" i="4"/>
  <c r="K54" i="4"/>
  <c r="K53" i="4"/>
  <c r="K52" i="4"/>
  <c r="K51" i="4"/>
  <c r="K50" i="4"/>
  <c r="K49" i="4"/>
  <c r="K48" i="4"/>
  <c r="K47" i="4"/>
  <c r="K46" i="4"/>
  <c r="K45" i="4"/>
  <c r="K44" i="4"/>
  <c r="K43" i="4"/>
  <c r="K42" i="4"/>
  <c r="K41" i="4"/>
  <c r="K40" i="4"/>
  <c r="K39" i="4"/>
  <c r="K38" i="4"/>
  <c r="K37" i="4"/>
  <c r="K36" i="4"/>
  <c r="K35" i="4"/>
  <c r="K34" i="4"/>
  <c r="K33" i="4"/>
  <c r="K32" i="4"/>
  <c r="K31" i="4"/>
  <c r="K30" i="4"/>
  <c r="K29" i="4"/>
  <c r="K28" i="4"/>
  <c r="K27" i="4"/>
  <c r="K26" i="4"/>
  <c r="K25" i="4"/>
  <c r="K24" i="4"/>
  <c r="K23" i="4"/>
  <c r="K22" i="4"/>
  <c r="K21" i="4"/>
  <c r="K20" i="4"/>
  <c r="K19" i="4"/>
  <c r="K18" i="4"/>
  <c r="K17" i="4"/>
  <c r="K16" i="4"/>
  <c r="K15" i="4"/>
  <c r="K14" i="4"/>
  <c r="K12" i="4"/>
  <c r="K11" i="4"/>
  <c r="K10" i="4"/>
  <c r="K9" i="4"/>
  <c r="K8" i="4"/>
  <c r="K7" i="4"/>
  <c r="K6" i="4"/>
  <c r="K5" i="4"/>
  <c r="K4" i="4"/>
  <c r="K3" i="4"/>
  <c r="K2" i="4"/>
  <c r="K13" i="4"/>
  <c r="BU3" i="1" l="1"/>
  <c r="BS3" i="1"/>
  <c r="N4" i="1" l="1"/>
  <c r="Y4" i="1" l="1"/>
  <c r="DO4" i="1"/>
  <c r="AD4" i="1"/>
  <c r="BE4" i="1"/>
  <c r="L84" i="4"/>
  <c r="L85" i="4"/>
  <c r="E85" i="4"/>
  <c r="E84" i="4"/>
  <c r="BG4" i="1" l="1"/>
  <c r="EC4" i="1" s="1"/>
  <c r="EA4" i="1"/>
  <c r="I2" i="6"/>
  <c r="DU4" i="1"/>
  <c r="V94" i="1"/>
  <c r="W94" i="1"/>
  <c r="V95" i="1"/>
  <c r="W95" i="1"/>
  <c r="R94" i="1"/>
  <c r="DQ94" i="1" s="1"/>
  <c r="R95" i="1"/>
  <c r="DQ95" i="1" s="1"/>
  <c r="N94" i="1"/>
  <c r="DO94" i="1" s="1"/>
  <c r="N95" i="1"/>
  <c r="DO95" i="1" s="1"/>
  <c r="N93" i="1"/>
  <c r="DO93" i="1" s="1"/>
  <c r="Q95" i="1"/>
  <c r="F89" i="6" l="1"/>
  <c r="DS95" i="1"/>
  <c r="L13" i="7"/>
  <c r="I73" i="13"/>
  <c r="N96" i="1"/>
  <c r="BU4" i="1"/>
  <c r="Z95" i="1"/>
  <c r="T94" i="1"/>
  <c r="DP94" i="1" s="1"/>
  <c r="T95" i="1"/>
  <c r="DP95" i="1" s="1"/>
  <c r="AH94" i="1"/>
  <c r="AH95" i="1"/>
  <c r="AH96" i="1" s="1"/>
  <c r="AI96" i="1" s="1"/>
  <c r="AL96" i="1" s="1"/>
  <c r="EJ96" i="1" s="1"/>
  <c r="AH93" i="1"/>
  <c r="BL95" i="1"/>
  <c r="AR95" i="1" s="1"/>
  <c r="EG95" i="1" s="1"/>
  <c r="BL94" i="1"/>
  <c r="Q6" i="1"/>
  <c r="Q11" i="1"/>
  <c r="Q12" i="1"/>
  <c r="Q13" i="1"/>
  <c r="Q14" i="1"/>
  <c r="Q15" i="1"/>
  <c r="Q17" i="1"/>
  <c r="Q18" i="1"/>
  <c r="Q19" i="1"/>
  <c r="Q20" i="1"/>
  <c r="Q21" i="1"/>
  <c r="Q22" i="1"/>
  <c r="Q23" i="1"/>
  <c r="DS23" i="1" s="1"/>
  <c r="Q24" i="1"/>
  <c r="Q25" i="1"/>
  <c r="Q26" i="1"/>
  <c r="Q27" i="1"/>
  <c r="Q31" i="1"/>
  <c r="Q32" i="1"/>
  <c r="Q33" i="1"/>
  <c r="Q34" i="1"/>
  <c r="Q35" i="1"/>
  <c r="Q37" i="1"/>
  <c r="Q38" i="1"/>
  <c r="Q39" i="1"/>
  <c r="Q40" i="1"/>
  <c r="Q41" i="1"/>
  <c r="Q42" i="1"/>
  <c r="Q43" i="1"/>
  <c r="Q44" i="1"/>
  <c r="Q45" i="1"/>
  <c r="Q46" i="1"/>
  <c r="Q47" i="1"/>
  <c r="Q48" i="1"/>
  <c r="Q49" i="1"/>
  <c r="Q50" i="1"/>
  <c r="Q51" i="1"/>
  <c r="Q52" i="1"/>
  <c r="Q53" i="1"/>
  <c r="Q54" i="1"/>
  <c r="Q55" i="1"/>
  <c r="Q56" i="1"/>
  <c r="Q57" i="1"/>
  <c r="Q58" i="1"/>
  <c r="Q60" i="1"/>
  <c r="Q62" i="1"/>
  <c r="Q65" i="1"/>
  <c r="Q66" i="1"/>
  <c r="Q67" i="1"/>
  <c r="Q68" i="1"/>
  <c r="Q72" i="1"/>
  <c r="DS72" i="1" s="1"/>
  <c r="Q74" i="1"/>
  <c r="Q75" i="1"/>
  <c r="Q76" i="1"/>
  <c r="Q77" i="1"/>
  <c r="Q78" i="1"/>
  <c r="Q85" i="1"/>
  <c r="Q86" i="1"/>
  <c r="Q87" i="1"/>
  <c r="Q88" i="1"/>
  <c r="Q89" i="1"/>
  <c r="Q90" i="1"/>
  <c r="Q91" i="1"/>
  <c r="Q92" i="1"/>
  <c r="AE96" i="1"/>
  <c r="Q4" i="1"/>
  <c r="DS4" i="1" s="1"/>
  <c r="V4" i="14" l="1"/>
  <c r="S4" i="14" s="1"/>
  <c r="DA4" i="1"/>
  <c r="F52" i="6"/>
  <c r="DS56" i="1"/>
  <c r="F28" i="6"/>
  <c r="DS31" i="1"/>
  <c r="F69" i="6"/>
  <c r="DS75" i="1"/>
  <c r="F39" i="6"/>
  <c r="DS43" i="1"/>
  <c r="F23" i="6"/>
  <c r="DS26" i="1"/>
  <c r="F29" i="6"/>
  <c r="DS32" i="1"/>
  <c r="F10" i="6"/>
  <c r="DS12" i="1"/>
  <c r="F72" i="6"/>
  <c r="DS78" i="1"/>
  <c r="F16" i="6"/>
  <c r="DS18" i="1"/>
  <c r="F71" i="6"/>
  <c r="DS77" i="1"/>
  <c r="J89" i="6"/>
  <c r="DT95" i="1"/>
  <c r="F37" i="6"/>
  <c r="DS41" i="1"/>
  <c r="F63" i="6"/>
  <c r="DS68" i="1"/>
  <c r="F36" i="6"/>
  <c r="DS40" i="1"/>
  <c r="F21" i="6"/>
  <c r="DS24" i="1"/>
  <c r="F82" i="6"/>
  <c r="DS88" i="1"/>
  <c r="F51" i="6"/>
  <c r="DS55" i="1"/>
  <c r="F12" i="6"/>
  <c r="DS14" i="1"/>
  <c r="F86" i="6"/>
  <c r="DS92" i="1"/>
  <c r="F50" i="6"/>
  <c r="DS54" i="1"/>
  <c r="F11" i="6"/>
  <c r="DS13" i="1"/>
  <c r="F85" i="6"/>
  <c r="DS91" i="1"/>
  <c r="F49" i="6"/>
  <c r="DS53" i="1"/>
  <c r="F22" i="6"/>
  <c r="DS25" i="1"/>
  <c r="F84" i="6"/>
  <c r="DS90" i="1"/>
  <c r="F48" i="6"/>
  <c r="DS52" i="1"/>
  <c r="F9" i="6"/>
  <c r="DS11" i="1"/>
  <c r="F83" i="6"/>
  <c r="DS89" i="1"/>
  <c r="F62" i="6"/>
  <c r="DS67" i="1"/>
  <c r="F47" i="6"/>
  <c r="DS51" i="1"/>
  <c r="F35" i="6"/>
  <c r="DS39" i="1"/>
  <c r="AD96" i="1"/>
  <c r="DO96" i="1"/>
  <c r="F46" i="6"/>
  <c r="DS50" i="1"/>
  <c r="F20" i="6"/>
  <c r="DS22" i="1"/>
  <c r="F81" i="6"/>
  <c r="DS87" i="1"/>
  <c r="F45" i="6"/>
  <c r="DS49" i="1"/>
  <c r="F57" i="6"/>
  <c r="DS62" i="1"/>
  <c r="F44" i="6"/>
  <c r="DS48" i="1"/>
  <c r="F32" i="6"/>
  <c r="DS35" i="1"/>
  <c r="F18" i="6"/>
  <c r="DS20" i="1"/>
  <c r="F54" i="6"/>
  <c r="DS58" i="1"/>
  <c r="F42" i="6"/>
  <c r="DS46" i="1"/>
  <c r="F30" i="6"/>
  <c r="DS33" i="1"/>
  <c r="F53" i="6"/>
  <c r="DS57" i="1"/>
  <c r="F41" i="6"/>
  <c r="DS45" i="1"/>
  <c r="F15" i="6"/>
  <c r="DS17" i="1"/>
  <c r="F70" i="6"/>
  <c r="DS76" i="1"/>
  <c r="F40" i="6"/>
  <c r="DS44" i="1"/>
  <c r="F13" i="6"/>
  <c r="DS15" i="1"/>
  <c r="F24" i="6"/>
  <c r="DS27" i="1"/>
  <c r="F68" i="6"/>
  <c r="DS74" i="1"/>
  <c r="F38" i="6"/>
  <c r="DS42" i="1"/>
  <c r="F4" i="6"/>
  <c r="DS6" i="1"/>
  <c r="F61" i="6"/>
  <c r="DS66" i="1"/>
  <c r="F34" i="6"/>
  <c r="DS38" i="1"/>
  <c r="F60" i="6"/>
  <c r="DS65" i="1"/>
  <c r="F33" i="6"/>
  <c r="DS37" i="1"/>
  <c r="F19" i="6"/>
  <c r="DS21" i="1"/>
  <c r="F80" i="6"/>
  <c r="DS86" i="1"/>
  <c r="F79" i="6"/>
  <c r="DS85" i="1"/>
  <c r="F55" i="6"/>
  <c r="DS60" i="1"/>
  <c r="F43" i="6"/>
  <c r="DS47" i="1"/>
  <c r="F31" i="6"/>
  <c r="DS34" i="1"/>
  <c r="F17" i="6"/>
  <c r="DS19" i="1"/>
  <c r="J3" i="12"/>
  <c r="AE4" i="1"/>
  <c r="F2" i="6"/>
  <c r="AD95" i="1"/>
  <c r="G89" i="6"/>
  <c r="AD94" i="1"/>
  <c r="G88" i="6"/>
  <c r="AE95" i="1"/>
  <c r="Q8" i="1"/>
  <c r="AE10" i="1"/>
  <c r="Z96" i="1"/>
  <c r="AA96" i="1"/>
  <c r="BD95" i="1"/>
  <c r="BF95" i="1" s="1"/>
  <c r="EB95" i="1" s="1"/>
  <c r="Q82" i="1"/>
  <c r="AE84" i="1"/>
  <c r="AK96" i="1"/>
  <c r="EI96" i="1" s="1"/>
  <c r="AJ96" i="1"/>
  <c r="EH96" i="1" s="1"/>
  <c r="Y96" i="1"/>
  <c r="Q79" i="1"/>
  <c r="AE81" i="1"/>
  <c r="Q69" i="1"/>
  <c r="Q28" i="1"/>
  <c r="AE30" i="1"/>
  <c r="AE63" i="1"/>
  <c r="Y94" i="1"/>
  <c r="Y95" i="1"/>
  <c r="Q64" i="1"/>
  <c r="F81" i="5"/>
  <c r="AI95" i="1"/>
  <c r="AI94" i="1"/>
  <c r="AL94" i="1" s="1"/>
  <c r="EJ94" i="1" s="1"/>
  <c r="BE95" i="1"/>
  <c r="EA95" i="1" s="1"/>
  <c r="X95" i="1"/>
  <c r="H89" i="6" s="1"/>
  <c r="X94" i="1"/>
  <c r="H88" i="6" s="1"/>
  <c r="Z4" i="1"/>
  <c r="BD94" i="1"/>
  <c r="BD4" i="1"/>
  <c r="Q93" i="1"/>
  <c r="AE94" i="1"/>
  <c r="Q70" i="1"/>
  <c r="DS70" i="1" s="1"/>
  <c r="F76" i="6" l="1"/>
  <c r="DS82" i="1"/>
  <c r="F87" i="6"/>
  <c r="DS93" i="1"/>
  <c r="I88" i="6"/>
  <c r="DU94" i="1"/>
  <c r="J90" i="6"/>
  <c r="DT96" i="1"/>
  <c r="F25" i="6"/>
  <c r="DS28" i="1"/>
  <c r="F64" i="6"/>
  <c r="DS69" i="1"/>
  <c r="F59" i="6"/>
  <c r="DS64" i="1"/>
  <c r="F73" i="6"/>
  <c r="DS79" i="1"/>
  <c r="F6" i="6"/>
  <c r="DS8" i="1"/>
  <c r="I90" i="6"/>
  <c r="DU96" i="1"/>
  <c r="I89" i="6"/>
  <c r="DU95" i="1"/>
  <c r="J2" i="6"/>
  <c r="DT4" i="1"/>
  <c r="D84" i="13"/>
  <c r="Q84" i="13"/>
  <c r="BS96" i="1"/>
  <c r="J6" i="7"/>
  <c r="P52" i="7"/>
  <c r="AK95" i="1"/>
  <c r="EI95" i="1" s="1"/>
  <c r="AL95" i="1"/>
  <c r="EJ95" i="1" s="1"/>
  <c r="Q71" i="1"/>
  <c r="F65" i="6"/>
  <c r="Z16" i="1"/>
  <c r="AA10" i="1"/>
  <c r="AA84" i="1"/>
  <c r="AA81" i="1"/>
  <c r="AA30" i="1"/>
  <c r="AA63" i="1"/>
  <c r="BG95" i="1"/>
  <c r="AB95" i="1"/>
  <c r="D72" i="7" s="1"/>
  <c r="AJ94" i="1"/>
  <c r="EH94" i="1" s="1"/>
  <c r="AK94" i="1"/>
  <c r="AJ95" i="1"/>
  <c r="EH95" i="1" s="1"/>
  <c r="AA95" i="1"/>
  <c r="Q17" i="13" s="1"/>
  <c r="BF4" i="1"/>
  <c r="EB4" i="1" s="1"/>
  <c r="AA94" i="1"/>
  <c r="Q68" i="13" s="1"/>
  <c r="Z94" i="1"/>
  <c r="V4" i="1"/>
  <c r="W4" i="1"/>
  <c r="W6" i="1"/>
  <c r="W8" i="1"/>
  <c r="W9" i="1"/>
  <c r="W11" i="1"/>
  <c r="W12" i="1"/>
  <c r="W13" i="1"/>
  <c r="W14" i="1"/>
  <c r="W15" i="1"/>
  <c r="W17" i="1"/>
  <c r="W18" i="1"/>
  <c r="W19" i="1"/>
  <c r="W20" i="1"/>
  <c r="W21" i="1"/>
  <c r="W22" i="1"/>
  <c r="W24" i="1"/>
  <c r="W25" i="1"/>
  <c r="W26" i="1"/>
  <c r="W27" i="1"/>
  <c r="W28" i="1"/>
  <c r="W29" i="1"/>
  <c r="W31" i="1"/>
  <c r="W32" i="1"/>
  <c r="W33" i="1"/>
  <c r="W34" i="1"/>
  <c r="W35" i="1"/>
  <c r="W37" i="1"/>
  <c r="W38" i="1"/>
  <c r="W39" i="1"/>
  <c r="W40" i="1"/>
  <c r="W41" i="1"/>
  <c r="W42" i="1"/>
  <c r="W43" i="1"/>
  <c r="W44" i="1"/>
  <c r="W45" i="1"/>
  <c r="W46" i="1"/>
  <c r="W47" i="1"/>
  <c r="W48" i="1"/>
  <c r="W49" i="1"/>
  <c r="W50" i="1"/>
  <c r="W51" i="1"/>
  <c r="W52" i="1"/>
  <c r="W53" i="1"/>
  <c r="W54" i="1"/>
  <c r="W55" i="1"/>
  <c r="W56" i="1"/>
  <c r="W57" i="1"/>
  <c r="W58" i="1"/>
  <c r="W60" i="1"/>
  <c r="W61" i="1"/>
  <c r="W62" i="1"/>
  <c r="W64" i="1"/>
  <c r="W65" i="1"/>
  <c r="W66" i="1"/>
  <c r="W67" i="1"/>
  <c r="W68" i="1"/>
  <c r="W69" i="1"/>
  <c r="W70" i="1"/>
  <c r="W72" i="1"/>
  <c r="W73" i="1"/>
  <c r="W74" i="1"/>
  <c r="W75" i="1"/>
  <c r="W76" i="1"/>
  <c r="W77" i="1"/>
  <c r="W78" i="1"/>
  <c r="W79" i="1"/>
  <c r="W80" i="1"/>
  <c r="W82" i="1"/>
  <c r="W83" i="1"/>
  <c r="W85" i="1"/>
  <c r="W86" i="1"/>
  <c r="W87" i="1"/>
  <c r="W88" i="1"/>
  <c r="W89" i="1"/>
  <c r="W90" i="1"/>
  <c r="W91" i="1"/>
  <c r="W92" i="1"/>
  <c r="W93" i="1"/>
  <c r="W5" i="1"/>
  <c r="V6" i="1"/>
  <c r="V8" i="1"/>
  <c r="V9" i="1"/>
  <c r="V11" i="1"/>
  <c r="V12" i="1"/>
  <c r="V13" i="1"/>
  <c r="V14" i="1"/>
  <c r="V15" i="1"/>
  <c r="V17" i="1"/>
  <c r="V18" i="1"/>
  <c r="V19" i="1"/>
  <c r="V20" i="1"/>
  <c r="V21" i="1"/>
  <c r="V22" i="1"/>
  <c r="V24" i="1"/>
  <c r="V25" i="1"/>
  <c r="V26" i="1"/>
  <c r="V27" i="1"/>
  <c r="V28" i="1"/>
  <c r="V29" i="1"/>
  <c r="V31" i="1"/>
  <c r="V32" i="1"/>
  <c r="V33" i="1"/>
  <c r="V34" i="1"/>
  <c r="V35" i="1"/>
  <c r="V37" i="1"/>
  <c r="V38" i="1"/>
  <c r="V39" i="1"/>
  <c r="V40" i="1"/>
  <c r="V41" i="1"/>
  <c r="V42" i="1"/>
  <c r="V43" i="1"/>
  <c r="V44" i="1"/>
  <c r="V45" i="1"/>
  <c r="V46" i="1"/>
  <c r="V47" i="1"/>
  <c r="V48" i="1"/>
  <c r="V49" i="1"/>
  <c r="V50" i="1"/>
  <c r="V51" i="1"/>
  <c r="V52" i="1"/>
  <c r="V53" i="1"/>
  <c r="V54" i="1"/>
  <c r="V55" i="1"/>
  <c r="V56" i="1"/>
  <c r="V57" i="1"/>
  <c r="V58" i="1"/>
  <c r="V60" i="1"/>
  <c r="V61" i="1"/>
  <c r="V62" i="1"/>
  <c r="V64" i="1"/>
  <c r="V65" i="1"/>
  <c r="V66" i="1"/>
  <c r="V67" i="1"/>
  <c r="V68" i="1"/>
  <c r="V69" i="1"/>
  <c r="V70" i="1"/>
  <c r="V72" i="1"/>
  <c r="V73" i="1"/>
  <c r="V74" i="1"/>
  <c r="V75" i="1"/>
  <c r="V76" i="1"/>
  <c r="V77" i="1"/>
  <c r="V78" i="1"/>
  <c r="V79" i="1"/>
  <c r="V80" i="1"/>
  <c r="V82" i="1"/>
  <c r="V83" i="1"/>
  <c r="V85" i="1"/>
  <c r="V86" i="1"/>
  <c r="V87" i="1"/>
  <c r="V88" i="1"/>
  <c r="V89" i="1"/>
  <c r="V90" i="1"/>
  <c r="V91" i="1"/>
  <c r="V92" i="1"/>
  <c r="V93" i="1"/>
  <c r="V5" i="1"/>
  <c r="N5" i="1"/>
  <c r="DO5" i="1" s="1"/>
  <c r="I2" i="4"/>
  <c r="F4" i="4"/>
  <c r="G4" i="4" s="1"/>
  <c r="F3" i="4"/>
  <c r="G3" i="4" s="1"/>
  <c r="H3" i="4"/>
  <c r="I3" i="4" s="1"/>
  <c r="G2" i="4"/>
  <c r="L3" i="4"/>
  <c r="L4" i="4"/>
  <c r="L5" i="4"/>
  <c r="L6" i="4"/>
  <c r="L7" i="4"/>
  <c r="L8" i="4"/>
  <c r="L9" i="4"/>
  <c r="L10" i="4"/>
  <c r="L11" i="4"/>
  <c r="L12" i="4"/>
  <c r="L13" i="4"/>
  <c r="L14" i="4"/>
  <c r="L15" i="4"/>
  <c r="L16" i="4"/>
  <c r="L17" i="4"/>
  <c r="L18" i="4"/>
  <c r="L19" i="4"/>
  <c r="L20" i="4"/>
  <c r="L21" i="4"/>
  <c r="L22" i="4"/>
  <c r="L23" i="4"/>
  <c r="L24" i="4"/>
  <c r="L25" i="4"/>
  <c r="L26" i="4"/>
  <c r="L27" i="4"/>
  <c r="L28" i="4"/>
  <c r="L29" i="4"/>
  <c r="L30" i="4"/>
  <c r="L31" i="4"/>
  <c r="L32" i="4"/>
  <c r="L33" i="4"/>
  <c r="L34" i="4"/>
  <c r="L35" i="4"/>
  <c r="L36" i="4"/>
  <c r="L37" i="4"/>
  <c r="L38" i="4"/>
  <c r="L39" i="4"/>
  <c r="L40" i="4"/>
  <c r="L41" i="4"/>
  <c r="L42" i="4"/>
  <c r="L43" i="4"/>
  <c r="L44" i="4"/>
  <c r="L45" i="4"/>
  <c r="L46" i="4"/>
  <c r="L47" i="4"/>
  <c r="L48" i="4"/>
  <c r="L49" i="4"/>
  <c r="L50" i="4"/>
  <c r="L51" i="4"/>
  <c r="L52" i="4"/>
  <c r="L53" i="4"/>
  <c r="L54" i="4"/>
  <c r="L55" i="4"/>
  <c r="L56" i="4"/>
  <c r="L57" i="4"/>
  <c r="L58" i="4"/>
  <c r="L59" i="4"/>
  <c r="L60" i="4"/>
  <c r="L61" i="4"/>
  <c r="L62" i="4"/>
  <c r="L63" i="4"/>
  <c r="L64" i="4"/>
  <c r="L65" i="4"/>
  <c r="L66" i="4"/>
  <c r="L67" i="4"/>
  <c r="L68" i="4"/>
  <c r="L69" i="4"/>
  <c r="L70" i="4"/>
  <c r="L71" i="4"/>
  <c r="L72" i="4"/>
  <c r="L73" i="4"/>
  <c r="L74" i="4"/>
  <c r="L75" i="4"/>
  <c r="L76" i="4"/>
  <c r="L77" i="4"/>
  <c r="L78" i="4"/>
  <c r="L79" i="4"/>
  <c r="L80" i="4"/>
  <c r="L81" i="4"/>
  <c r="L82" i="4"/>
  <c r="L83" i="4"/>
  <c r="L2" i="4"/>
  <c r="AR94" i="1" l="1"/>
  <c r="EG94" i="1" s="1"/>
  <c r="EI94" i="1"/>
  <c r="M3" i="4"/>
  <c r="M9" i="4" s="1"/>
  <c r="M6" i="4"/>
  <c r="J88" i="6"/>
  <c r="DT94" i="1"/>
  <c r="J14" i="6"/>
  <c r="DT16" i="1"/>
  <c r="AA71" i="1"/>
  <c r="BS71" i="1" s="1"/>
  <c r="DS71" i="1"/>
  <c r="V17" i="13"/>
  <c r="EC95" i="1"/>
  <c r="H91" i="12"/>
  <c r="ED96" i="1"/>
  <c r="D83" i="13"/>
  <c r="Q83" i="13"/>
  <c r="D88" i="13"/>
  <c r="Q88" i="13"/>
  <c r="Q80" i="13"/>
  <c r="D80" i="13"/>
  <c r="Q79" i="13"/>
  <c r="D79" i="13"/>
  <c r="Q82" i="13"/>
  <c r="D82" i="13"/>
  <c r="CK96" i="1"/>
  <c r="D92" i="14" s="1"/>
  <c r="CJ96" i="1"/>
  <c r="C92" i="14" s="1"/>
  <c r="BS81" i="1"/>
  <c r="C60" i="7"/>
  <c r="P39" i="7"/>
  <c r="BS84" i="1"/>
  <c r="C63" i="7"/>
  <c r="P27" i="7"/>
  <c r="J5" i="7"/>
  <c r="P63" i="7"/>
  <c r="BS10" i="1"/>
  <c r="P23" i="7"/>
  <c r="J8" i="7"/>
  <c r="C72" i="7"/>
  <c r="P8" i="7"/>
  <c r="BS63" i="1"/>
  <c r="P51" i="7"/>
  <c r="J17" i="7"/>
  <c r="BS30" i="1"/>
  <c r="C21" i="7"/>
  <c r="P29" i="7"/>
  <c r="BU95" i="1"/>
  <c r="E72" i="7"/>
  <c r="AE71" i="1"/>
  <c r="F66" i="6"/>
  <c r="AC95" i="1"/>
  <c r="U17" i="13" s="1"/>
  <c r="F80" i="5"/>
  <c r="BS94" i="1"/>
  <c r="BS95" i="1"/>
  <c r="Z5" i="1"/>
  <c r="H4" i="4"/>
  <c r="F5" i="4"/>
  <c r="N6" i="1"/>
  <c r="DO6" i="1" s="1"/>
  <c r="N8" i="1"/>
  <c r="DO8" i="1" s="1"/>
  <c r="N9" i="1"/>
  <c r="DO9" i="1" s="1"/>
  <c r="N11" i="1"/>
  <c r="DO11" i="1" s="1"/>
  <c r="N12" i="1"/>
  <c r="DO12" i="1" s="1"/>
  <c r="N13" i="1"/>
  <c r="DO13" i="1" s="1"/>
  <c r="N14" i="1"/>
  <c r="DO14" i="1" s="1"/>
  <c r="N15" i="1"/>
  <c r="DO15" i="1" s="1"/>
  <c r="N17" i="1"/>
  <c r="DO17" i="1" s="1"/>
  <c r="N18" i="1"/>
  <c r="DO18" i="1" s="1"/>
  <c r="N19" i="1"/>
  <c r="DO19" i="1" s="1"/>
  <c r="N20" i="1"/>
  <c r="DO20" i="1" s="1"/>
  <c r="N21" i="1"/>
  <c r="DO21" i="1" s="1"/>
  <c r="N22" i="1"/>
  <c r="DO22" i="1" s="1"/>
  <c r="N24" i="1"/>
  <c r="DO24" i="1" s="1"/>
  <c r="N25" i="1"/>
  <c r="DO25" i="1" s="1"/>
  <c r="N26" i="1"/>
  <c r="DO26" i="1" s="1"/>
  <c r="N27" i="1"/>
  <c r="DO27" i="1" s="1"/>
  <c r="N28" i="1"/>
  <c r="DO28" i="1" s="1"/>
  <c r="N29" i="1"/>
  <c r="DO29" i="1" s="1"/>
  <c r="N31" i="1"/>
  <c r="DO31" i="1" s="1"/>
  <c r="N32" i="1"/>
  <c r="DO32" i="1" s="1"/>
  <c r="N33" i="1"/>
  <c r="DO33" i="1" s="1"/>
  <c r="N34" i="1"/>
  <c r="DO34" i="1" s="1"/>
  <c r="N35" i="1"/>
  <c r="DO35" i="1" s="1"/>
  <c r="N37" i="1"/>
  <c r="DO37" i="1" s="1"/>
  <c r="N38" i="1"/>
  <c r="DO38" i="1" s="1"/>
  <c r="N39" i="1"/>
  <c r="DO39" i="1" s="1"/>
  <c r="N40" i="1"/>
  <c r="DO40" i="1" s="1"/>
  <c r="N41" i="1"/>
  <c r="DO41" i="1" s="1"/>
  <c r="N42" i="1"/>
  <c r="DO42" i="1" s="1"/>
  <c r="N43" i="1"/>
  <c r="DO43" i="1" s="1"/>
  <c r="N44" i="1"/>
  <c r="DO44" i="1" s="1"/>
  <c r="N45" i="1"/>
  <c r="DO45" i="1" s="1"/>
  <c r="N46" i="1"/>
  <c r="DO46" i="1" s="1"/>
  <c r="N47" i="1"/>
  <c r="DO47" i="1" s="1"/>
  <c r="N48" i="1"/>
  <c r="DO48" i="1" s="1"/>
  <c r="N49" i="1"/>
  <c r="DO49" i="1" s="1"/>
  <c r="N50" i="1"/>
  <c r="DO50" i="1" s="1"/>
  <c r="N51" i="1"/>
  <c r="DO51" i="1" s="1"/>
  <c r="N52" i="1"/>
  <c r="DO52" i="1" s="1"/>
  <c r="N53" i="1"/>
  <c r="DO53" i="1" s="1"/>
  <c r="N54" i="1"/>
  <c r="DO54" i="1" s="1"/>
  <c r="N55" i="1"/>
  <c r="DO55" i="1" s="1"/>
  <c r="N56" i="1"/>
  <c r="DO56" i="1" s="1"/>
  <c r="N57" i="1"/>
  <c r="DO57" i="1" s="1"/>
  <c r="N58" i="1"/>
  <c r="DO58" i="1" s="1"/>
  <c r="N60" i="1"/>
  <c r="DO60" i="1" s="1"/>
  <c r="N61" i="1"/>
  <c r="DO61" i="1" s="1"/>
  <c r="N62" i="1"/>
  <c r="DO62" i="1" s="1"/>
  <c r="N64" i="1"/>
  <c r="DO64" i="1" s="1"/>
  <c r="N65" i="1"/>
  <c r="DO65" i="1" s="1"/>
  <c r="N66" i="1"/>
  <c r="DO66" i="1" s="1"/>
  <c r="N67" i="1"/>
  <c r="DO67" i="1" s="1"/>
  <c r="N68" i="1"/>
  <c r="DO68" i="1" s="1"/>
  <c r="N69" i="1"/>
  <c r="DO69" i="1" s="1"/>
  <c r="N70" i="1"/>
  <c r="DO70" i="1" s="1"/>
  <c r="N72" i="1"/>
  <c r="DO72" i="1" s="1"/>
  <c r="N73" i="1"/>
  <c r="DO73" i="1" s="1"/>
  <c r="N74" i="1"/>
  <c r="DO74" i="1" s="1"/>
  <c r="N75" i="1"/>
  <c r="DO75" i="1" s="1"/>
  <c r="N76" i="1"/>
  <c r="DO76" i="1" s="1"/>
  <c r="N77" i="1"/>
  <c r="DO77" i="1" s="1"/>
  <c r="N78" i="1"/>
  <c r="DO78" i="1" s="1"/>
  <c r="N79" i="1"/>
  <c r="DO79" i="1" s="1"/>
  <c r="N80" i="1"/>
  <c r="DO80" i="1" s="1"/>
  <c r="N82" i="1"/>
  <c r="DO82" i="1" s="1"/>
  <c r="N83" i="1"/>
  <c r="DO83" i="1" s="1"/>
  <c r="N85" i="1"/>
  <c r="DO85" i="1" s="1"/>
  <c r="N86" i="1"/>
  <c r="DO86" i="1" s="1"/>
  <c r="N87" i="1"/>
  <c r="DO87" i="1" s="1"/>
  <c r="N88" i="1"/>
  <c r="DO88" i="1" s="1"/>
  <c r="N89" i="1"/>
  <c r="DO89" i="1" s="1"/>
  <c r="N90" i="1"/>
  <c r="DO90" i="1" s="1"/>
  <c r="N91" i="1"/>
  <c r="DO91" i="1" s="1"/>
  <c r="N92" i="1"/>
  <c r="DO92" i="1" s="1"/>
  <c r="Z93" i="1"/>
  <c r="H67" i="12" l="1"/>
  <c r="ED71" i="1"/>
  <c r="H9" i="12"/>
  <c r="ED10" i="1"/>
  <c r="H28" i="12"/>
  <c r="ED30" i="1"/>
  <c r="J3" i="6"/>
  <c r="DT5" i="1"/>
  <c r="P37" i="7"/>
  <c r="H79" i="12"/>
  <c r="ED84" i="1"/>
  <c r="Q81" i="13"/>
  <c r="H90" i="12"/>
  <c r="ED95" i="1"/>
  <c r="C54" i="7"/>
  <c r="D81" i="13"/>
  <c r="H89" i="12"/>
  <c r="ED94" i="1"/>
  <c r="H59" i="12"/>
  <c r="ED63" i="1"/>
  <c r="J87" i="6"/>
  <c r="DT93" i="1"/>
  <c r="H76" i="12"/>
  <c r="ED81" i="1"/>
  <c r="DA95" i="1"/>
  <c r="V91" i="14" s="1"/>
  <c r="S91" i="14" s="1"/>
  <c r="J90" i="12"/>
  <c r="CK10" i="1"/>
  <c r="D10" i="14" s="1"/>
  <c r="CJ10" i="1"/>
  <c r="C10" i="14" s="1"/>
  <c r="CJ30" i="1"/>
  <c r="C29" i="14" s="1"/>
  <c r="CK30" i="1"/>
  <c r="D29" i="14" s="1"/>
  <c r="CJ95" i="1"/>
  <c r="C91" i="14" s="1"/>
  <c r="CK95" i="1"/>
  <c r="D91" i="14" s="1"/>
  <c r="CK94" i="1"/>
  <c r="D90" i="14" s="1"/>
  <c r="CJ94" i="1"/>
  <c r="C90" i="14" s="1"/>
  <c r="CK63" i="1"/>
  <c r="D60" i="14" s="1"/>
  <c r="CJ63" i="1"/>
  <c r="C60" i="14" s="1"/>
  <c r="CJ71" i="1"/>
  <c r="C68" i="14" s="1"/>
  <c r="CK71" i="1"/>
  <c r="D68" i="14" s="1"/>
  <c r="CK81" i="1"/>
  <c r="D77" i="14" s="1"/>
  <c r="CJ81" i="1"/>
  <c r="C77" i="14" s="1"/>
  <c r="CK84" i="1"/>
  <c r="D80" i="14" s="1"/>
  <c r="CJ84" i="1"/>
  <c r="C80" i="14" s="1"/>
  <c r="BT95" i="1"/>
  <c r="F72" i="7"/>
  <c r="N84" i="1"/>
  <c r="N10" i="1"/>
  <c r="N81" i="1"/>
  <c r="DO81" i="1" s="1"/>
  <c r="N71" i="1"/>
  <c r="DO71" i="1" s="1"/>
  <c r="N63" i="1"/>
  <c r="N30" i="1"/>
  <c r="Z54" i="1"/>
  <c r="Z42" i="1"/>
  <c r="Z14" i="1"/>
  <c r="Z90" i="1"/>
  <c r="Z76" i="1"/>
  <c r="Z62" i="1"/>
  <c r="Z49" i="1"/>
  <c r="Z37" i="1"/>
  <c r="Z22" i="1"/>
  <c r="Z8" i="1"/>
  <c r="Z82" i="1"/>
  <c r="Z61" i="1"/>
  <c r="Z6" i="1"/>
  <c r="Z88" i="1"/>
  <c r="Z74" i="1"/>
  <c r="Z60" i="1"/>
  <c r="Z47" i="1"/>
  <c r="Z34" i="1"/>
  <c r="Z20" i="1"/>
  <c r="Z75" i="1"/>
  <c r="Z35" i="1"/>
  <c r="Z87" i="1"/>
  <c r="Z58" i="1"/>
  <c r="Z33" i="1"/>
  <c r="Z86" i="1"/>
  <c r="Z72" i="1"/>
  <c r="DT72" i="1" s="1"/>
  <c r="Z57" i="1"/>
  <c r="Z45" i="1"/>
  <c r="Z32" i="1"/>
  <c r="Z18" i="1"/>
  <c r="Z85" i="1"/>
  <c r="Z70" i="1"/>
  <c r="Z56" i="1"/>
  <c r="Z44" i="1"/>
  <c r="Z31" i="1"/>
  <c r="Z17" i="1"/>
  <c r="Z89" i="1"/>
  <c r="Z48" i="1"/>
  <c r="Z21" i="1"/>
  <c r="Z73" i="1"/>
  <c r="Z46" i="1"/>
  <c r="Z19" i="1"/>
  <c r="Z83" i="1"/>
  <c r="Z69" i="1"/>
  <c r="Z55" i="1"/>
  <c r="Z43" i="1"/>
  <c r="Z29" i="1"/>
  <c r="Z15" i="1"/>
  <c r="Z68" i="1"/>
  <c r="Z28" i="1"/>
  <c r="Z80" i="1"/>
  <c r="Z67" i="1"/>
  <c r="Z53" i="1"/>
  <c r="Z41" i="1"/>
  <c r="Z27" i="1"/>
  <c r="Z13" i="1"/>
  <c r="Z79" i="1"/>
  <c r="Z66" i="1"/>
  <c r="Z52" i="1"/>
  <c r="Z40" i="1"/>
  <c r="Z26" i="1"/>
  <c r="Z12" i="1"/>
  <c r="Z92" i="1"/>
  <c r="Z78" i="1"/>
  <c r="Z65" i="1"/>
  <c r="Z51" i="1"/>
  <c r="Z39" i="1"/>
  <c r="Z25" i="1"/>
  <c r="Z11" i="1"/>
  <c r="Z91" i="1"/>
  <c r="Z77" i="1"/>
  <c r="Z64" i="1"/>
  <c r="Z50" i="1"/>
  <c r="Z38" i="1"/>
  <c r="Z24" i="1"/>
  <c r="Z9" i="1"/>
  <c r="I4" i="4"/>
  <c r="H5" i="4"/>
  <c r="G5" i="4"/>
  <c r="F6" i="4"/>
  <c r="BL93" i="1"/>
  <c r="BL92" i="1"/>
  <c r="BL91" i="1"/>
  <c r="BL90" i="1"/>
  <c r="AR90" i="1" s="1"/>
  <c r="EG90" i="1" s="1"/>
  <c r="BL89" i="1"/>
  <c r="BL88" i="1"/>
  <c r="BL87" i="1"/>
  <c r="BL86" i="1"/>
  <c r="BL85" i="1"/>
  <c r="BL83" i="1"/>
  <c r="BL82" i="1"/>
  <c r="AR82" i="1" s="1"/>
  <c r="EG82" i="1" s="1"/>
  <c r="BL80" i="1"/>
  <c r="BL79" i="1"/>
  <c r="AR79" i="1" s="1"/>
  <c r="EG79" i="1" s="1"/>
  <c r="BL78" i="1"/>
  <c r="BL77" i="1"/>
  <c r="BL76" i="1"/>
  <c r="BL75" i="1"/>
  <c r="BL74" i="1"/>
  <c r="BL73" i="1"/>
  <c r="BL72" i="1"/>
  <c r="AR72" i="1" s="1"/>
  <c r="EG72" i="1" s="1"/>
  <c r="BL70" i="1"/>
  <c r="BL69" i="1"/>
  <c r="AR69" i="1" s="1"/>
  <c r="EG69" i="1" s="1"/>
  <c r="BL68" i="1"/>
  <c r="AR68" i="1" s="1"/>
  <c r="EG68" i="1" s="1"/>
  <c r="BL67" i="1"/>
  <c r="AR67" i="1" s="1"/>
  <c r="EG67" i="1" s="1"/>
  <c r="BL66" i="1"/>
  <c r="AR66" i="1" s="1"/>
  <c r="EG66" i="1" s="1"/>
  <c r="BL65" i="1"/>
  <c r="AR65" i="1" s="1"/>
  <c r="EG65" i="1" s="1"/>
  <c r="BL64" i="1"/>
  <c r="BL62" i="1"/>
  <c r="AR62" i="1" s="1"/>
  <c r="EG62" i="1" s="1"/>
  <c r="BL61" i="1"/>
  <c r="BL60" i="1"/>
  <c r="BL58" i="1"/>
  <c r="BL57" i="1"/>
  <c r="AR57" i="1" s="1"/>
  <c r="EG57" i="1" s="1"/>
  <c r="BL56" i="1"/>
  <c r="AR56" i="1" s="1"/>
  <c r="EG56" i="1" s="1"/>
  <c r="BL55" i="1"/>
  <c r="BL54" i="1"/>
  <c r="BL53" i="1"/>
  <c r="AR53" i="1" s="1"/>
  <c r="EG53" i="1" s="1"/>
  <c r="BL52" i="1"/>
  <c r="BL51" i="1"/>
  <c r="AR51" i="1" s="1"/>
  <c r="EG51" i="1" s="1"/>
  <c r="BL50" i="1"/>
  <c r="BL49" i="1"/>
  <c r="BL48" i="1"/>
  <c r="BL47" i="1"/>
  <c r="BL46" i="1"/>
  <c r="BL45" i="1"/>
  <c r="AR45" i="1" s="1"/>
  <c r="EG45" i="1" s="1"/>
  <c r="BL44" i="1"/>
  <c r="AR44" i="1" s="1"/>
  <c r="EG44" i="1" s="1"/>
  <c r="BL43" i="1"/>
  <c r="BL42" i="1"/>
  <c r="BL41" i="1"/>
  <c r="AR41" i="1" s="1"/>
  <c r="EG41" i="1" s="1"/>
  <c r="BL40" i="1"/>
  <c r="AR40" i="1" s="1"/>
  <c r="EG40" i="1" s="1"/>
  <c r="BL39" i="1"/>
  <c r="AR39" i="1" s="1"/>
  <c r="EG39" i="1" s="1"/>
  <c r="BL38" i="1"/>
  <c r="AR38" i="1" s="1"/>
  <c r="EG38" i="1" s="1"/>
  <c r="BL37" i="1"/>
  <c r="AR37" i="1" s="1"/>
  <c r="EG37" i="1" s="1"/>
  <c r="BL36" i="1"/>
  <c r="AR36" i="1" s="1"/>
  <c r="EG36" i="1" s="1"/>
  <c r="BL35" i="1"/>
  <c r="BL34" i="1"/>
  <c r="AR34" i="1" s="1"/>
  <c r="EG34" i="1" s="1"/>
  <c r="BL33" i="1"/>
  <c r="AR33" i="1" s="1"/>
  <c r="EG33" i="1" s="1"/>
  <c r="BL32" i="1"/>
  <c r="AR32" i="1" s="1"/>
  <c r="EG32" i="1" s="1"/>
  <c r="BL31" i="1"/>
  <c r="AR31" i="1" s="1"/>
  <c r="EG31" i="1" s="1"/>
  <c r="BL27" i="1"/>
  <c r="AR27" i="1" s="1"/>
  <c r="EG27" i="1" s="1"/>
  <c r="BL26" i="1"/>
  <c r="BL25" i="1"/>
  <c r="AR25" i="1" s="1"/>
  <c r="EG25" i="1" s="1"/>
  <c r="BL24" i="1"/>
  <c r="AR24" i="1" s="1"/>
  <c r="EG24" i="1" s="1"/>
  <c r="BL23" i="1"/>
  <c r="AR23" i="1" s="1"/>
  <c r="EG23" i="1" s="1"/>
  <c r="BL22" i="1"/>
  <c r="BL21" i="1"/>
  <c r="BL20" i="1"/>
  <c r="AR20" i="1" s="1"/>
  <c r="EG20" i="1" s="1"/>
  <c r="BL19" i="1"/>
  <c r="BL18" i="1"/>
  <c r="BL14" i="1"/>
  <c r="BL13" i="1"/>
  <c r="BL12" i="1"/>
  <c r="AR12" i="1" s="1"/>
  <c r="EG12" i="1" s="1"/>
  <c r="BL8" i="1"/>
  <c r="AR8" i="1" s="1"/>
  <c r="EG8" i="1" s="1"/>
  <c r="BL6" i="1"/>
  <c r="BK29" i="1"/>
  <c r="DW29" i="1" s="1"/>
  <c r="BK28" i="1"/>
  <c r="DW28" i="1" s="1"/>
  <c r="BK11" i="1"/>
  <c r="DW11" i="1" s="1"/>
  <c r="BK9" i="1"/>
  <c r="J85" i="6" l="1"/>
  <c r="DT91" i="1"/>
  <c r="J39" i="6"/>
  <c r="DT43" i="1"/>
  <c r="J40" i="6"/>
  <c r="DT44" i="1"/>
  <c r="J81" i="6"/>
  <c r="DT87" i="1"/>
  <c r="J6" i="6"/>
  <c r="DT8" i="1"/>
  <c r="J73" i="6"/>
  <c r="DT79" i="1"/>
  <c r="J51" i="6"/>
  <c r="DT55" i="1"/>
  <c r="J52" i="6"/>
  <c r="DT56" i="1"/>
  <c r="J32" i="6"/>
  <c r="DT35" i="1"/>
  <c r="J20" i="6"/>
  <c r="DT22" i="1"/>
  <c r="J22" i="6"/>
  <c r="DT25" i="1"/>
  <c r="J64" i="6"/>
  <c r="DT69" i="1"/>
  <c r="J69" i="6"/>
  <c r="DT75" i="1"/>
  <c r="AD10" i="1"/>
  <c r="DO10" i="1"/>
  <c r="J65" i="6"/>
  <c r="DT70" i="1"/>
  <c r="J35" i="6"/>
  <c r="DT39" i="1"/>
  <c r="J24" i="6"/>
  <c r="DT27" i="1"/>
  <c r="J77" i="6"/>
  <c r="DT83" i="1"/>
  <c r="J79" i="6"/>
  <c r="DT85" i="1"/>
  <c r="J18" i="6"/>
  <c r="DT20" i="1"/>
  <c r="J45" i="6"/>
  <c r="DT49" i="1"/>
  <c r="AD84" i="1"/>
  <c r="DO84" i="1"/>
  <c r="J61" i="6"/>
  <c r="DT66" i="1"/>
  <c r="J11" i="6"/>
  <c r="DT13" i="1"/>
  <c r="J33" i="6"/>
  <c r="DT37" i="1"/>
  <c r="J47" i="6"/>
  <c r="DT51" i="1"/>
  <c r="J37" i="6"/>
  <c r="DT41" i="1"/>
  <c r="J17" i="6"/>
  <c r="DT19" i="1"/>
  <c r="J16" i="6"/>
  <c r="DT18" i="1"/>
  <c r="J31" i="6"/>
  <c r="DT34" i="1"/>
  <c r="J57" i="6"/>
  <c r="DT62" i="1"/>
  <c r="J9" i="6"/>
  <c r="DT11" i="1"/>
  <c r="J60" i="6"/>
  <c r="DT65" i="1"/>
  <c r="J49" i="6"/>
  <c r="DT53" i="1"/>
  <c r="J42" i="6"/>
  <c r="DT46" i="1"/>
  <c r="J29" i="6"/>
  <c r="DT32" i="1"/>
  <c r="J43" i="6"/>
  <c r="DT47" i="1"/>
  <c r="J70" i="6"/>
  <c r="DT76" i="1"/>
  <c r="I90" i="12"/>
  <c r="EE95" i="1"/>
  <c r="J41" i="6"/>
  <c r="DT45" i="1"/>
  <c r="J19" i="6"/>
  <c r="DT21" i="1"/>
  <c r="J34" i="6"/>
  <c r="DT38" i="1"/>
  <c r="J10" i="6"/>
  <c r="DT12" i="1"/>
  <c r="J25" i="6"/>
  <c r="DT28" i="1"/>
  <c r="J44" i="6"/>
  <c r="DT48" i="1"/>
  <c r="J82" i="6"/>
  <c r="DT88" i="1"/>
  <c r="J38" i="6"/>
  <c r="DT42" i="1"/>
  <c r="J62" i="6"/>
  <c r="DT67" i="1"/>
  <c r="BK10" i="1"/>
  <c r="DW10" i="1" s="1"/>
  <c r="DW9" i="1"/>
  <c r="J46" i="6"/>
  <c r="DT50" i="1"/>
  <c r="J23" i="6"/>
  <c r="DT26" i="1"/>
  <c r="J63" i="6"/>
  <c r="DT68" i="1"/>
  <c r="J83" i="6"/>
  <c r="DT89" i="1"/>
  <c r="J80" i="6"/>
  <c r="DT86" i="1"/>
  <c r="J4" i="6"/>
  <c r="DT6" i="1"/>
  <c r="J50" i="6"/>
  <c r="DT54" i="1"/>
  <c r="J21" i="6"/>
  <c r="DT24" i="1"/>
  <c r="J74" i="6"/>
  <c r="DT80" i="1"/>
  <c r="J53" i="6"/>
  <c r="DT57" i="1"/>
  <c r="J68" i="6"/>
  <c r="DT74" i="1"/>
  <c r="J12" i="6"/>
  <c r="DT14" i="1"/>
  <c r="J59" i="6"/>
  <c r="DT64" i="1"/>
  <c r="J36" i="6"/>
  <c r="DT40" i="1"/>
  <c r="J13" i="6"/>
  <c r="DT15" i="1"/>
  <c r="J15" i="6"/>
  <c r="DT17" i="1"/>
  <c r="J30" i="6"/>
  <c r="DT33" i="1"/>
  <c r="J56" i="6"/>
  <c r="DT61" i="1"/>
  <c r="AD30" i="1"/>
  <c r="DO30" i="1"/>
  <c r="J7" i="6"/>
  <c r="DT9" i="1"/>
  <c r="J72" i="6"/>
  <c r="DT78" i="1"/>
  <c r="J67" i="6"/>
  <c r="DT73" i="1"/>
  <c r="J55" i="6"/>
  <c r="DT60" i="1"/>
  <c r="J84" i="6"/>
  <c r="DT90" i="1"/>
  <c r="J86" i="6"/>
  <c r="DT92" i="1"/>
  <c r="J71" i="6"/>
  <c r="DT77" i="1"/>
  <c r="J48" i="6"/>
  <c r="DT52" i="1"/>
  <c r="J26" i="6"/>
  <c r="DT29" i="1"/>
  <c r="J28" i="6"/>
  <c r="DT31" i="1"/>
  <c r="J54" i="6"/>
  <c r="DT58" i="1"/>
  <c r="J76" i="6"/>
  <c r="DT82" i="1"/>
  <c r="AD63" i="1"/>
  <c r="DO63" i="1"/>
  <c r="BL81" i="1"/>
  <c r="AR81" i="1" s="1"/>
  <c r="EG81" i="1" s="1"/>
  <c r="BL63" i="1"/>
  <c r="BL84" i="1"/>
  <c r="AR84" i="1" s="1"/>
  <c r="EG84" i="1" s="1"/>
  <c r="AR70" i="1"/>
  <c r="BL71" i="1"/>
  <c r="AR71" i="1" s="1"/>
  <c r="EG71" i="1" s="1"/>
  <c r="AR13" i="1"/>
  <c r="BL16" i="1"/>
  <c r="AR16" i="1" s="1"/>
  <c r="EG16" i="1" s="1"/>
  <c r="BK30" i="1"/>
  <c r="DW30" i="1" s="1"/>
  <c r="AR93" i="1"/>
  <c r="BL96" i="1"/>
  <c r="AR96" i="1" s="1"/>
  <c r="EG96" i="1" s="1"/>
  <c r="CL95" i="1"/>
  <c r="CM95" i="1"/>
  <c r="Y84" i="1"/>
  <c r="Z84" i="1"/>
  <c r="Z71" i="1"/>
  <c r="AD71" i="1"/>
  <c r="Z81" i="1"/>
  <c r="AD81" i="1"/>
  <c r="Z10" i="1"/>
  <c r="Y10" i="1"/>
  <c r="Y81" i="1"/>
  <c r="Y71" i="1"/>
  <c r="Y63" i="1"/>
  <c r="Z63" i="1"/>
  <c r="Y30" i="1"/>
  <c r="Z30" i="1"/>
  <c r="F57" i="5"/>
  <c r="F24" i="5"/>
  <c r="F32" i="5"/>
  <c r="F48" i="5"/>
  <c r="F37" i="5"/>
  <c r="F49" i="5"/>
  <c r="F36" i="5"/>
  <c r="F19" i="5"/>
  <c r="F67" i="5"/>
  <c r="F33" i="5"/>
  <c r="F26" i="5"/>
  <c r="F27" i="5"/>
  <c r="F15" i="5"/>
  <c r="F8" i="5"/>
  <c r="F58" i="5"/>
  <c r="F56" i="5"/>
  <c r="F45" i="5"/>
  <c r="F69" i="5"/>
  <c r="F25" i="5"/>
  <c r="F29" i="5"/>
  <c r="F76" i="5"/>
  <c r="F30" i="5"/>
  <c r="F21" i="5"/>
  <c r="F59" i="5"/>
  <c r="F53" i="5"/>
  <c r="F5" i="5"/>
  <c r="F18" i="5"/>
  <c r="F31" i="5"/>
  <c r="F43" i="5"/>
  <c r="F55" i="5"/>
  <c r="BL9" i="1"/>
  <c r="AR9" i="1" s="1"/>
  <c r="EG9" i="1" s="1"/>
  <c r="BL11" i="1"/>
  <c r="AR11" i="1" s="1"/>
  <c r="EG11" i="1" s="1"/>
  <c r="BL29" i="1"/>
  <c r="BL28" i="1"/>
  <c r="AR28" i="1" s="1"/>
  <c r="EG28" i="1" s="1"/>
  <c r="I5" i="4"/>
  <c r="H6" i="4"/>
  <c r="F7" i="4"/>
  <c r="G6" i="4"/>
  <c r="F60" i="5" l="1"/>
  <c r="EG70" i="1"/>
  <c r="F79" i="5"/>
  <c r="EG93" i="1"/>
  <c r="F9" i="5"/>
  <c r="EG13" i="1"/>
  <c r="J75" i="6"/>
  <c r="DT81" i="1"/>
  <c r="J27" i="6"/>
  <c r="DT30" i="1"/>
  <c r="J66" i="6"/>
  <c r="DT71" i="1"/>
  <c r="J78" i="6"/>
  <c r="DT84" i="1"/>
  <c r="I58" i="6"/>
  <c r="DU63" i="1"/>
  <c r="I27" i="6"/>
  <c r="DU30" i="1"/>
  <c r="J58" i="6"/>
  <c r="DT63" i="1"/>
  <c r="I78" i="6"/>
  <c r="DU84" i="1"/>
  <c r="I75" i="6"/>
  <c r="DU81" i="1"/>
  <c r="I66" i="6"/>
  <c r="DU71" i="1"/>
  <c r="I8" i="6"/>
  <c r="DU10" i="1"/>
  <c r="J8" i="6"/>
  <c r="DT10" i="1"/>
  <c r="AR29" i="1"/>
  <c r="BL30" i="1"/>
  <c r="AR30" i="1" s="1"/>
  <c r="EG30" i="1" s="1"/>
  <c r="CX95" i="1"/>
  <c r="CY95" i="1" s="1"/>
  <c r="F91" i="14"/>
  <c r="E91" i="14"/>
  <c r="CV95" i="1"/>
  <c r="BL10" i="1"/>
  <c r="AR10" i="1" s="1"/>
  <c r="EG10" i="1" s="1"/>
  <c r="F6" i="5"/>
  <c r="F22" i="5"/>
  <c r="F7" i="5"/>
  <c r="BE6" i="1"/>
  <c r="EA6" i="1" s="1"/>
  <c r="I6" i="4"/>
  <c r="H7" i="4"/>
  <c r="F8" i="4"/>
  <c r="G7" i="4"/>
  <c r="BD6" i="1"/>
  <c r="F23" i="5" l="1"/>
  <c r="EG29" i="1"/>
  <c r="H91" i="14"/>
  <c r="CW95" i="1"/>
  <c r="G91" i="14" s="1"/>
  <c r="BG6" i="1"/>
  <c r="BF6" i="1"/>
  <c r="EB6" i="1" s="1"/>
  <c r="H8" i="4"/>
  <c r="I7" i="4"/>
  <c r="F9" i="4"/>
  <c r="G8" i="4"/>
  <c r="I29" i="13" l="1"/>
  <c r="EC6" i="1"/>
  <c r="Q91" i="14"/>
  <c r="R91" i="14"/>
  <c r="P91" i="14"/>
  <c r="O91" i="14"/>
  <c r="N91" i="14"/>
  <c r="M91" i="14"/>
  <c r="DB95" i="1"/>
  <c r="BU6" i="1"/>
  <c r="E4" i="7"/>
  <c r="H9" i="4"/>
  <c r="I8" i="4"/>
  <c r="F10" i="4"/>
  <c r="G9" i="4"/>
  <c r="DA6" i="1" l="1"/>
  <c r="J5" i="12"/>
  <c r="H10" i="4"/>
  <c r="I9" i="4"/>
  <c r="F11" i="4"/>
  <c r="G10" i="4"/>
  <c r="V6" i="14" l="1"/>
  <c r="S6" i="14" s="1"/>
  <c r="H11" i="4"/>
  <c r="I10" i="4"/>
  <c r="G11" i="4"/>
  <c r="F12" i="4"/>
  <c r="AH4" i="1"/>
  <c r="AI4" i="1" l="1"/>
  <c r="H12" i="4"/>
  <c r="I11" i="4"/>
  <c r="N11" i="4" s="1"/>
  <c r="F13" i="4"/>
  <c r="G12" i="4"/>
  <c r="E83" i="4"/>
  <c r="E82" i="4"/>
  <c r="E81" i="4"/>
  <c r="E80" i="4"/>
  <c r="E79" i="4"/>
  <c r="E78" i="4"/>
  <c r="E77" i="4"/>
  <c r="E76" i="4"/>
  <c r="E75" i="4"/>
  <c r="E74" i="4"/>
  <c r="E73" i="4"/>
  <c r="E72" i="4"/>
  <c r="E71" i="4"/>
  <c r="E70" i="4"/>
  <c r="E69" i="4"/>
  <c r="E68" i="4"/>
  <c r="E67" i="4"/>
  <c r="E66" i="4"/>
  <c r="E65" i="4"/>
  <c r="E64" i="4"/>
  <c r="E63" i="4"/>
  <c r="E62" i="4"/>
  <c r="E61" i="4"/>
  <c r="E60" i="4"/>
  <c r="E59" i="4"/>
  <c r="E58" i="4"/>
  <c r="E57" i="4"/>
  <c r="E56" i="4"/>
  <c r="E55" i="4"/>
  <c r="E54" i="4"/>
  <c r="E53" i="4"/>
  <c r="E52" i="4"/>
  <c r="E51" i="4"/>
  <c r="E50" i="4"/>
  <c r="E49" i="4"/>
  <c r="E48" i="4"/>
  <c r="E47" i="4"/>
  <c r="E46" i="4"/>
  <c r="E45" i="4"/>
  <c r="E44" i="4"/>
  <c r="E43" i="4"/>
  <c r="E42" i="4"/>
  <c r="E41" i="4"/>
  <c r="E40" i="4"/>
  <c r="E39" i="4"/>
  <c r="E38" i="4"/>
  <c r="E37" i="4"/>
  <c r="E36" i="4"/>
  <c r="E35" i="4"/>
  <c r="E34" i="4"/>
  <c r="E33" i="4"/>
  <c r="E32" i="4"/>
  <c r="E31" i="4"/>
  <c r="E29" i="4"/>
  <c r="E28" i="4"/>
  <c r="E27" i="4"/>
  <c r="E26" i="4"/>
  <c r="E25" i="4"/>
  <c r="E24" i="4"/>
  <c r="E23" i="4"/>
  <c r="E22" i="4"/>
  <c r="E21" i="4"/>
  <c r="E20" i="4"/>
  <c r="E19" i="4"/>
  <c r="E17" i="4"/>
  <c r="E16" i="4"/>
  <c r="E15" i="4"/>
  <c r="E14" i="4"/>
  <c r="E13" i="4"/>
  <c r="E12" i="4"/>
  <c r="E11" i="4"/>
  <c r="N10" i="4"/>
  <c r="E10" i="4"/>
  <c r="N9" i="4"/>
  <c r="E9" i="4"/>
  <c r="N8" i="4"/>
  <c r="E8" i="4"/>
  <c r="E7" i="4"/>
  <c r="E6" i="4"/>
  <c r="N5" i="4"/>
  <c r="E5" i="4"/>
  <c r="N4" i="4"/>
  <c r="E4" i="4"/>
  <c r="O3" i="4"/>
  <c r="P3" i="4" s="1"/>
  <c r="AB3" i="4" s="1"/>
  <c r="E3" i="4"/>
  <c r="N2" i="4"/>
  <c r="E2" i="4"/>
  <c r="AL4" i="1" l="1"/>
  <c r="EJ4" i="1" s="1"/>
  <c r="AJ4" i="1"/>
  <c r="EH4" i="1" s="1"/>
  <c r="AK4" i="1"/>
  <c r="H13" i="4"/>
  <c r="I12" i="4"/>
  <c r="O12" i="4" s="1"/>
  <c r="P12" i="4" s="1"/>
  <c r="F14" i="4"/>
  <c r="G13" i="4"/>
  <c r="O9" i="4"/>
  <c r="P9" i="4" s="1"/>
  <c r="AD9" i="4" s="1"/>
  <c r="O8" i="4"/>
  <c r="P8" i="4" s="1"/>
  <c r="AI8" i="4" s="1"/>
  <c r="N3" i="4"/>
  <c r="N6" i="4"/>
  <c r="O6" i="4"/>
  <c r="P6" i="4" s="1"/>
  <c r="AF6" i="4" s="1"/>
  <c r="N7" i="4"/>
  <c r="O7" i="4"/>
  <c r="P7" i="4" s="1"/>
  <c r="T7" i="4" s="1"/>
  <c r="O5" i="4"/>
  <c r="P5" i="4" s="1"/>
  <c r="S5" i="4" s="1"/>
  <c r="O11" i="4"/>
  <c r="P11" i="4" s="1"/>
  <c r="AC11" i="4" s="1"/>
  <c r="O4" i="4"/>
  <c r="P4" i="4" s="1"/>
  <c r="V4" i="4" s="1"/>
  <c r="O2" i="4"/>
  <c r="P2" i="4" s="1"/>
  <c r="Y2" i="4" s="1"/>
  <c r="O10" i="4"/>
  <c r="P10" i="4" s="1"/>
  <c r="S3" i="4"/>
  <c r="T3" i="4"/>
  <c r="Z3" i="4"/>
  <c r="U3" i="4"/>
  <c r="V3" i="4"/>
  <c r="X3" i="4"/>
  <c r="Y3" i="4"/>
  <c r="AO3" i="4"/>
  <c r="AE3" i="4"/>
  <c r="AD3" i="4"/>
  <c r="AN3" i="4"/>
  <c r="AM3" i="4"/>
  <c r="AL3" i="4"/>
  <c r="AK3" i="4"/>
  <c r="AJ3" i="4"/>
  <c r="AI3" i="4"/>
  <c r="AH3" i="4"/>
  <c r="AG3" i="4"/>
  <c r="AF3" i="4"/>
  <c r="AC3" i="4"/>
  <c r="AA3" i="4"/>
  <c r="W3" i="4"/>
  <c r="W4" i="4" l="1"/>
  <c r="EI4" i="1"/>
  <c r="AR4" i="1"/>
  <c r="EG4" i="1" s="1"/>
  <c r="N12" i="4"/>
  <c r="AE8" i="4"/>
  <c r="T8" i="4"/>
  <c r="U12" i="4"/>
  <c r="AK12" i="4"/>
  <c r="H14" i="4"/>
  <c r="I13" i="4"/>
  <c r="AI4" i="4"/>
  <c r="AJ7" i="4"/>
  <c r="AA11" i="4"/>
  <c r="Y8" i="4"/>
  <c r="AL7" i="4"/>
  <c r="Z8" i="4"/>
  <c r="AN8" i="4"/>
  <c r="U11" i="4"/>
  <c r="AM8" i="4"/>
  <c r="AB11" i="4"/>
  <c r="AK8" i="4"/>
  <c r="AF4" i="4"/>
  <c r="AH8" i="4"/>
  <c r="Y11" i="4"/>
  <c r="S8" i="4"/>
  <c r="AN11" i="4"/>
  <c r="AC8" i="4"/>
  <c r="AH4" i="4"/>
  <c r="AA8" i="4"/>
  <c r="W8" i="4"/>
  <c r="AD11" i="4"/>
  <c r="T10" i="4"/>
  <c r="AK10" i="4"/>
  <c r="AA6" i="4"/>
  <c r="S6" i="4"/>
  <c r="AM6" i="4"/>
  <c r="AO6" i="4"/>
  <c r="AI6" i="4"/>
  <c r="AL6" i="4"/>
  <c r="AB6" i="4"/>
  <c r="Z6" i="4"/>
  <c r="AJ6" i="4"/>
  <c r="AO8" i="4"/>
  <c r="AB8" i="4"/>
  <c r="U8" i="4"/>
  <c r="V8" i="4"/>
  <c r="S11" i="4"/>
  <c r="W11" i="4"/>
  <c r="AH11" i="4"/>
  <c r="AN4" i="4"/>
  <c r="AL8" i="4"/>
  <c r="AG8" i="4"/>
  <c r="X8" i="4"/>
  <c r="AF8" i="4"/>
  <c r="AJ8" i="4"/>
  <c r="AG11" i="4"/>
  <c r="AD8" i="4"/>
  <c r="G14" i="4"/>
  <c r="F15" i="4"/>
  <c r="AL10" i="4"/>
  <c r="W10" i="4"/>
  <c r="AE6" i="4"/>
  <c r="AE10" i="4"/>
  <c r="T6" i="4"/>
  <c r="AO10" i="4"/>
  <c r="AH12" i="4"/>
  <c r="AD10" i="4"/>
  <c r="AC12" i="4"/>
  <c r="AE12" i="4"/>
  <c r="AL5" i="4"/>
  <c r="AB12" i="4"/>
  <c r="S12" i="4"/>
  <c r="AB10" i="4"/>
  <c r="T12" i="4"/>
  <c r="AL12" i="4"/>
  <c r="AM12" i="4"/>
  <c r="AN12" i="4"/>
  <c r="AD12" i="4"/>
  <c r="W12" i="4"/>
  <c r="AG10" i="4"/>
  <c r="AO11" i="4"/>
  <c r="AG12" i="4"/>
  <c r="AM10" i="4"/>
  <c r="Y4" i="4"/>
  <c r="Z11" i="4"/>
  <c r="W6" i="4"/>
  <c r="T11" i="4"/>
  <c r="AI10" i="4"/>
  <c r="AL4" i="4"/>
  <c r="AM11" i="4"/>
  <c r="Z12" i="4"/>
  <c r="AE11" i="4"/>
  <c r="AE4" i="4"/>
  <c r="S4" i="4"/>
  <c r="T4" i="4"/>
  <c r="AF10" i="4"/>
  <c r="AK4" i="4"/>
  <c r="AC10" i="4"/>
  <c r="AJ10" i="4"/>
  <c r="X6" i="4"/>
  <c r="S10" i="4"/>
  <c r="AJ11" i="4"/>
  <c r="AK6" i="4"/>
  <c r="Y12" i="4"/>
  <c r="Y6" i="4"/>
  <c r="X11" i="4"/>
  <c r="AF11" i="4"/>
  <c r="AG4" i="4"/>
  <c r="AH6" i="4"/>
  <c r="AI11" i="4"/>
  <c r="AJ12" i="4"/>
  <c r="AO12" i="4"/>
  <c r="AN6" i="4"/>
  <c r="AD4" i="4"/>
  <c r="AF12" i="4"/>
  <c r="AG6" i="4"/>
  <c r="AH10" i="4"/>
  <c r="AI12" i="4"/>
  <c r="AM4" i="4"/>
  <c r="AN10" i="4"/>
  <c r="AD6" i="4"/>
  <c r="AC6" i="4"/>
  <c r="U4" i="4"/>
  <c r="V6" i="4"/>
  <c r="AJ4" i="4"/>
  <c r="AK11" i="4"/>
  <c r="AL11" i="4"/>
  <c r="V12" i="4"/>
  <c r="U6" i="4"/>
  <c r="V11" i="4"/>
  <c r="U7" i="4"/>
  <c r="Z4" i="4"/>
  <c r="AA12" i="4"/>
  <c r="AB4" i="4"/>
  <c r="X12" i="4"/>
  <c r="AC4" i="4"/>
  <c r="Z10" i="4"/>
  <c r="AO4" i="4"/>
  <c r="X4" i="4"/>
  <c r="AA4" i="4"/>
  <c r="Y7" i="4"/>
  <c r="AJ5" i="4"/>
  <c r="AB5" i="4"/>
  <c r="X7" i="4"/>
  <c r="AI7" i="4"/>
  <c r="AC5" i="4"/>
  <c r="AN2" i="4"/>
  <c r="Q3" i="4"/>
  <c r="AK5" i="4"/>
  <c r="Z5" i="4"/>
  <c r="Y5" i="4"/>
  <c r="AE2" i="4"/>
  <c r="W5" i="4"/>
  <c r="AH5" i="4"/>
  <c r="AO5" i="4"/>
  <c r="T5" i="4"/>
  <c r="AA10" i="4"/>
  <c r="V5" i="4"/>
  <c r="AA5" i="4"/>
  <c r="W7" i="4"/>
  <c r="AK7" i="4"/>
  <c r="AN5" i="4"/>
  <c r="AD5" i="4"/>
  <c r="X5" i="4"/>
  <c r="AC2" i="4"/>
  <c r="Y10" i="4"/>
  <c r="AA7" i="4"/>
  <c r="AG5" i="4"/>
  <c r="AH7" i="4"/>
  <c r="AM5" i="4"/>
  <c r="AO7" i="4"/>
  <c r="AG2" i="4"/>
  <c r="X10" i="4"/>
  <c r="AN7" i="4"/>
  <c r="AD7" i="4"/>
  <c r="AH2" i="4"/>
  <c r="V10" i="4"/>
  <c r="AF7" i="4"/>
  <c r="AI5" i="4"/>
  <c r="Z7" i="4"/>
  <c r="AF5" i="4"/>
  <c r="AG7" i="4"/>
  <c r="AM7" i="4"/>
  <c r="AM9" i="4"/>
  <c r="AN9" i="4"/>
  <c r="AB7" i="4"/>
  <c r="AC7" i="4"/>
  <c r="V7" i="4"/>
  <c r="S7" i="4"/>
  <c r="AE7" i="4"/>
  <c r="AL9" i="4"/>
  <c r="Y9" i="4"/>
  <c r="V9" i="4"/>
  <c r="AC9" i="4"/>
  <c r="T9" i="4"/>
  <c r="U9" i="4"/>
  <c r="S9" i="4"/>
  <c r="AK9" i="4"/>
  <c r="AF9" i="4"/>
  <c r="AG9" i="4"/>
  <c r="AI9" i="4"/>
  <c r="AJ9" i="4"/>
  <c r="AH9" i="4"/>
  <c r="Z9" i="4"/>
  <c r="X9" i="4"/>
  <c r="AB9" i="4"/>
  <c r="W9" i="4"/>
  <c r="AO9" i="4"/>
  <c r="AA9" i="4"/>
  <c r="U5" i="4"/>
  <c r="U10" i="4"/>
  <c r="S2" i="4"/>
  <c r="AL2" i="4"/>
  <c r="AD2" i="4"/>
  <c r="AB2" i="4"/>
  <c r="AF2" i="4"/>
  <c r="AA2" i="4"/>
  <c r="AI2" i="4"/>
  <c r="Z2" i="4"/>
  <c r="AK2" i="4"/>
  <c r="W2" i="4"/>
  <c r="AJ2" i="4"/>
  <c r="X2" i="4"/>
  <c r="AO2" i="4"/>
  <c r="U2" i="4"/>
  <c r="V2" i="4"/>
  <c r="T2" i="4"/>
  <c r="AM2" i="4"/>
  <c r="AE9" i="4"/>
  <c r="AE5" i="4"/>
  <c r="R93" i="1"/>
  <c r="DQ93" i="1" s="1"/>
  <c r="R92" i="1"/>
  <c r="DQ92" i="1" s="1"/>
  <c r="R91" i="1"/>
  <c r="DQ91" i="1" s="1"/>
  <c r="R90" i="1"/>
  <c r="DQ90" i="1" s="1"/>
  <c r="R89" i="1"/>
  <c r="DQ89" i="1" s="1"/>
  <c r="R88" i="1"/>
  <c r="DQ88" i="1" s="1"/>
  <c r="R87" i="1"/>
  <c r="DQ87" i="1" s="1"/>
  <c r="R86" i="1"/>
  <c r="DQ86" i="1" s="1"/>
  <c r="R85" i="1"/>
  <c r="DQ85" i="1" s="1"/>
  <c r="R83" i="1"/>
  <c r="DQ83" i="1" s="1"/>
  <c r="R82" i="1"/>
  <c r="DQ82" i="1" s="1"/>
  <c r="R80" i="1"/>
  <c r="DQ80" i="1" s="1"/>
  <c r="R79" i="1"/>
  <c r="DQ79" i="1" s="1"/>
  <c r="R78" i="1"/>
  <c r="DQ78" i="1" s="1"/>
  <c r="R77" i="1"/>
  <c r="DQ77" i="1" s="1"/>
  <c r="R76" i="1"/>
  <c r="DQ76" i="1" s="1"/>
  <c r="R75" i="1"/>
  <c r="DQ75" i="1" s="1"/>
  <c r="R74" i="1"/>
  <c r="DQ74" i="1" s="1"/>
  <c r="R73" i="1"/>
  <c r="DQ73" i="1" s="1"/>
  <c r="R72" i="1"/>
  <c r="DQ72" i="1" s="1"/>
  <c r="R70" i="1"/>
  <c r="DQ70" i="1" s="1"/>
  <c r="R69" i="1"/>
  <c r="DQ69" i="1" s="1"/>
  <c r="R68" i="1"/>
  <c r="DQ68" i="1" s="1"/>
  <c r="R67" i="1"/>
  <c r="DQ67" i="1" s="1"/>
  <c r="R66" i="1"/>
  <c r="DQ66" i="1" s="1"/>
  <c r="R65" i="1"/>
  <c r="DQ65" i="1" s="1"/>
  <c r="R64" i="1"/>
  <c r="DQ64" i="1" s="1"/>
  <c r="R62" i="1"/>
  <c r="DQ62" i="1" s="1"/>
  <c r="R61" i="1"/>
  <c r="DQ61" i="1" s="1"/>
  <c r="R60" i="1"/>
  <c r="DQ60" i="1" s="1"/>
  <c r="R58" i="1"/>
  <c r="DQ58" i="1" s="1"/>
  <c r="R57" i="1"/>
  <c r="DQ57" i="1" s="1"/>
  <c r="R56" i="1"/>
  <c r="DQ56" i="1" s="1"/>
  <c r="R55" i="1"/>
  <c r="DQ55" i="1" s="1"/>
  <c r="R54" i="1"/>
  <c r="DQ54" i="1" s="1"/>
  <c r="R53" i="1"/>
  <c r="DQ53" i="1" s="1"/>
  <c r="R52" i="1"/>
  <c r="DQ52" i="1" s="1"/>
  <c r="R51" i="1"/>
  <c r="DQ51" i="1" s="1"/>
  <c r="R50" i="1"/>
  <c r="DQ50" i="1" s="1"/>
  <c r="R49" i="1"/>
  <c r="DQ49" i="1" s="1"/>
  <c r="R48" i="1"/>
  <c r="DQ48" i="1" s="1"/>
  <c r="R47" i="1"/>
  <c r="DQ47" i="1" s="1"/>
  <c r="R46" i="1"/>
  <c r="DQ46" i="1" s="1"/>
  <c r="R45" i="1"/>
  <c r="DQ45" i="1" s="1"/>
  <c r="R44" i="1"/>
  <c r="DQ44" i="1" s="1"/>
  <c r="R43" i="1"/>
  <c r="DQ43" i="1" s="1"/>
  <c r="R42" i="1"/>
  <c r="DQ42" i="1" s="1"/>
  <c r="R41" i="1"/>
  <c r="DQ41" i="1" s="1"/>
  <c r="R40" i="1"/>
  <c r="DQ40" i="1" s="1"/>
  <c r="R39" i="1"/>
  <c r="DQ39" i="1" s="1"/>
  <c r="R38" i="1"/>
  <c r="DQ38" i="1" s="1"/>
  <c r="R37" i="1"/>
  <c r="DQ37" i="1" s="1"/>
  <c r="R35" i="1"/>
  <c r="DQ35" i="1" s="1"/>
  <c r="R34" i="1"/>
  <c r="DQ34" i="1" s="1"/>
  <c r="R33" i="1"/>
  <c r="DQ33" i="1" s="1"/>
  <c r="R32" i="1"/>
  <c r="DQ32" i="1" s="1"/>
  <c r="R31" i="1"/>
  <c r="DQ31" i="1" s="1"/>
  <c r="R29" i="1"/>
  <c r="DQ29" i="1" s="1"/>
  <c r="R28" i="1"/>
  <c r="DQ28" i="1" s="1"/>
  <c r="R27" i="1"/>
  <c r="DQ27" i="1" s="1"/>
  <c r="R26" i="1"/>
  <c r="DQ26" i="1" s="1"/>
  <c r="R25" i="1"/>
  <c r="DQ25" i="1" s="1"/>
  <c r="R24" i="1"/>
  <c r="DQ24" i="1" s="1"/>
  <c r="R22" i="1"/>
  <c r="DQ22" i="1" s="1"/>
  <c r="R21" i="1"/>
  <c r="DQ21" i="1" s="1"/>
  <c r="R20" i="1"/>
  <c r="DQ20" i="1" s="1"/>
  <c r="R19" i="1"/>
  <c r="DQ19" i="1" s="1"/>
  <c r="R18" i="1"/>
  <c r="DQ18" i="1" s="1"/>
  <c r="R17" i="1"/>
  <c r="DQ17" i="1" s="1"/>
  <c r="R15" i="1"/>
  <c r="DQ15" i="1" s="1"/>
  <c r="R14" i="1"/>
  <c r="R13" i="1"/>
  <c r="DQ13" i="1" s="1"/>
  <c r="R12" i="1"/>
  <c r="DQ12" i="1" s="1"/>
  <c r="R11" i="1"/>
  <c r="DQ11" i="1" s="1"/>
  <c r="R9" i="1"/>
  <c r="DQ9" i="1" s="1"/>
  <c r="R8" i="1"/>
  <c r="DQ8" i="1" s="1"/>
  <c r="R6" i="1"/>
  <c r="DQ6" i="1" s="1"/>
  <c r="R5" i="1"/>
  <c r="DQ5" i="1" s="1"/>
  <c r="F2" i="5" l="1"/>
  <c r="R16" i="1"/>
  <c r="DQ14" i="1"/>
  <c r="T22" i="1"/>
  <c r="T64" i="1"/>
  <c r="T76" i="1"/>
  <c r="T92" i="1"/>
  <c r="T62" i="1"/>
  <c r="T24" i="1"/>
  <c r="T78" i="1"/>
  <c r="T93" i="1"/>
  <c r="T37" i="1"/>
  <c r="DP37" i="1" s="1"/>
  <c r="T25" i="1"/>
  <c r="T12" i="1"/>
  <c r="T80" i="1"/>
  <c r="T82" i="1"/>
  <c r="T49" i="1"/>
  <c r="T38" i="1"/>
  <c r="DP38" i="1" s="1"/>
  <c r="T65" i="1"/>
  <c r="T26" i="1"/>
  <c r="T14" i="1"/>
  <c r="T50" i="1"/>
  <c r="T79" i="1"/>
  <c r="T27" i="1"/>
  <c r="T28" i="1"/>
  <c r="T55" i="1"/>
  <c r="T70" i="1"/>
  <c r="T77" i="1"/>
  <c r="T11" i="1"/>
  <c r="T66" i="1"/>
  <c r="DP66" i="1" s="1"/>
  <c r="T53" i="1"/>
  <c r="T68" i="1"/>
  <c r="T43" i="1"/>
  <c r="T18" i="1"/>
  <c r="T91" i="1"/>
  <c r="T13" i="1"/>
  <c r="DP13" i="1" s="1"/>
  <c r="T67" i="1"/>
  <c r="T54" i="1"/>
  <c r="T15" i="1"/>
  <c r="T69" i="1"/>
  <c r="T83" i="1"/>
  <c r="T17" i="1"/>
  <c r="DP17" i="1" s="1"/>
  <c r="T31" i="1"/>
  <c r="T85" i="1"/>
  <c r="T45" i="1"/>
  <c r="T86" i="1"/>
  <c r="T19" i="1"/>
  <c r="T46" i="1"/>
  <c r="DP46" i="1" s="1"/>
  <c r="T58" i="1"/>
  <c r="T73" i="1"/>
  <c r="T87" i="1"/>
  <c r="T90" i="1"/>
  <c r="T9" i="1"/>
  <c r="T51" i="1"/>
  <c r="DP51" i="1" s="1"/>
  <c r="T52" i="1"/>
  <c r="T29" i="1"/>
  <c r="T44" i="1"/>
  <c r="T32" i="1"/>
  <c r="T57" i="1"/>
  <c r="T47" i="1"/>
  <c r="T74" i="1"/>
  <c r="T88" i="1"/>
  <c r="T8" i="1"/>
  <c r="T39" i="1"/>
  <c r="T40" i="1"/>
  <c r="T41" i="1"/>
  <c r="T42" i="1"/>
  <c r="T56" i="1"/>
  <c r="T72" i="1"/>
  <c r="DP72" i="1" s="1"/>
  <c r="T33" i="1"/>
  <c r="T5" i="1"/>
  <c r="T20" i="1"/>
  <c r="T34" i="1"/>
  <c r="T60" i="1"/>
  <c r="T6" i="1"/>
  <c r="T21" i="1"/>
  <c r="T35" i="1"/>
  <c r="T48" i="1"/>
  <c r="T61" i="1"/>
  <c r="T75" i="1"/>
  <c r="T89" i="1"/>
  <c r="H15" i="4"/>
  <c r="I14" i="4"/>
  <c r="N13" i="4"/>
  <c r="O13" i="4"/>
  <c r="P13" i="4" s="1"/>
  <c r="Q8" i="4"/>
  <c r="G15" i="4"/>
  <c r="F16" i="4"/>
  <c r="Q11" i="4"/>
  <c r="Q10" i="4"/>
  <c r="Q4" i="4"/>
  <c r="Q6" i="4"/>
  <c r="Q12" i="4"/>
  <c r="Q5" i="4"/>
  <c r="Q7" i="4"/>
  <c r="Q9" i="4"/>
  <c r="Q2" i="4"/>
  <c r="BW125" i="2"/>
  <c r="BX125" i="2" s="1"/>
  <c r="BV125" i="2"/>
  <c r="BK125" i="2"/>
  <c r="BJ125" i="2"/>
  <c r="BH125" i="2"/>
  <c r="BF125" i="2"/>
  <c r="BD125" i="2"/>
  <c r="BB125" i="2"/>
  <c r="AZ125" i="2"/>
  <c r="AX125" i="2"/>
  <c r="AV125" i="2"/>
  <c r="AT125" i="2"/>
  <c r="AR125" i="2"/>
  <c r="AP125" i="2"/>
  <c r="AN125" i="2"/>
  <c r="AL125" i="2"/>
  <c r="AJ125" i="2"/>
  <c r="AH125" i="2"/>
  <c r="AF125" i="2"/>
  <c r="AD125" i="2"/>
  <c r="AB125" i="2"/>
  <c r="Z125" i="2"/>
  <c r="X125" i="2"/>
  <c r="V125" i="2"/>
  <c r="T125" i="2"/>
  <c r="R125" i="2"/>
  <c r="P125" i="2"/>
  <c r="N125" i="2"/>
  <c r="K125" i="2"/>
  <c r="L125" i="2" s="1"/>
  <c r="J125" i="2"/>
  <c r="BL125" i="2" s="1"/>
  <c r="H125" i="2"/>
  <c r="BW124" i="2"/>
  <c r="BV124" i="2"/>
  <c r="BL124" i="2"/>
  <c r="BK124" i="2"/>
  <c r="BJ124" i="2"/>
  <c r="BH124" i="2"/>
  <c r="BF124" i="2"/>
  <c r="BD124" i="2"/>
  <c r="BB124" i="2"/>
  <c r="AZ124" i="2"/>
  <c r="AX124" i="2"/>
  <c r="AV124" i="2"/>
  <c r="AT124" i="2"/>
  <c r="AR124" i="2"/>
  <c r="AP124" i="2"/>
  <c r="AN124" i="2"/>
  <c r="AL124" i="2"/>
  <c r="AJ124" i="2"/>
  <c r="AH124" i="2"/>
  <c r="AF124" i="2"/>
  <c r="AD124" i="2"/>
  <c r="AB124" i="2"/>
  <c r="Z124" i="2"/>
  <c r="X124" i="2"/>
  <c r="V124" i="2"/>
  <c r="T124" i="2"/>
  <c r="R124" i="2"/>
  <c r="P124" i="2"/>
  <c r="N124" i="2"/>
  <c r="L124" i="2"/>
  <c r="J124" i="2"/>
  <c r="H124" i="2"/>
  <c r="BW123" i="2"/>
  <c r="BV123" i="2"/>
  <c r="BK123" i="2"/>
  <c r="BJ123" i="2"/>
  <c r="BH123" i="2"/>
  <c r="BF123" i="2"/>
  <c r="BD123" i="2"/>
  <c r="BB123" i="2"/>
  <c r="AZ123" i="2"/>
  <c r="AX123" i="2"/>
  <c r="AV123" i="2"/>
  <c r="AT123" i="2"/>
  <c r="AR123" i="2"/>
  <c r="AP123" i="2"/>
  <c r="AN123" i="2"/>
  <c r="AL123" i="2"/>
  <c r="AJ123" i="2"/>
  <c r="AH123" i="2"/>
  <c r="AF123" i="2"/>
  <c r="AD123" i="2"/>
  <c r="AB123" i="2"/>
  <c r="Z123" i="2"/>
  <c r="X123" i="2"/>
  <c r="V123" i="2"/>
  <c r="T123" i="2"/>
  <c r="R123" i="2"/>
  <c r="P123" i="2"/>
  <c r="N123" i="2"/>
  <c r="L123" i="2"/>
  <c r="J123" i="2"/>
  <c r="BL123" i="2" s="1"/>
  <c r="H123" i="2"/>
  <c r="DC122" i="2"/>
  <c r="DB122" i="2"/>
  <c r="DA122" i="2"/>
  <c r="CZ122" i="2"/>
  <c r="CY122" i="2"/>
  <c r="CX122" i="2"/>
  <c r="CW122" i="2"/>
  <c r="CV122" i="2"/>
  <c r="CU122" i="2"/>
  <c r="CT122" i="2"/>
  <c r="CQ122" i="2"/>
  <c r="CP122" i="2"/>
  <c r="CO122" i="2"/>
  <c r="CN122" i="2"/>
  <c r="CM122" i="2"/>
  <c r="CL122" i="2"/>
  <c r="CK122" i="2"/>
  <c r="CJ122" i="2"/>
  <c r="CI122" i="2"/>
  <c r="CH122" i="2"/>
  <c r="BW122" i="2"/>
  <c r="BV122" i="2"/>
  <c r="BK122" i="2"/>
  <c r="BJ122" i="2"/>
  <c r="BH122" i="2"/>
  <c r="BF122" i="2"/>
  <c r="BD122" i="2"/>
  <c r="BB122" i="2"/>
  <c r="AZ122" i="2"/>
  <c r="AX122" i="2"/>
  <c r="AV122" i="2"/>
  <c r="AT122" i="2"/>
  <c r="AR122" i="2"/>
  <c r="AP122" i="2"/>
  <c r="AN122" i="2"/>
  <c r="AL122" i="2"/>
  <c r="AJ122" i="2"/>
  <c r="AH122" i="2"/>
  <c r="AF122" i="2"/>
  <c r="AD122" i="2"/>
  <c r="AB122" i="2"/>
  <c r="Z122" i="2"/>
  <c r="X122" i="2"/>
  <c r="V122" i="2"/>
  <c r="T122" i="2"/>
  <c r="R122" i="2"/>
  <c r="P122" i="2"/>
  <c r="N122" i="2"/>
  <c r="L122" i="2"/>
  <c r="J122" i="2"/>
  <c r="BL122" i="2" s="1"/>
  <c r="H122" i="2"/>
  <c r="DC121" i="2"/>
  <c r="DB121" i="2"/>
  <c r="DA121" i="2"/>
  <c r="CZ121" i="2"/>
  <c r="CY121" i="2"/>
  <c r="CX121" i="2"/>
  <c r="CW121" i="2"/>
  <c r="CV121" i="2"/>
  <c r="CU121" i="2"/>
  <c r="CT121" i="2"/>
  <c r="CQ121" i="2"/>
  <c r="CP121" i="2"/>
  <c r="CO121" i="2"/>
  <c r="CN121" i="2"/>
  <c r="CM121" i="2"/>
  <c r="CL121" i="2"/>
  <c r="CK121" i="2"/>
  <c r="CJ121" i="2"/>
  <c r="CI121" i="2"/>
  <c r="CH121" i="2"/>
  <c r="BW121" i="2"/>
  <c r="BV121" i="2"/>
  <c r="BK121" i="2"/>
  <c r="BJ121" i="2"/>
  <c r="BH121" i="2"/>
  <c r="BF121" i="2"/>
  <c r="BD121" i="2"/>
  <c r="BB121" i="2"/>
  <c r="AZ121" i="2"/>
  <c r="AX121" i="2"/>
  <c r="AV121" i="2"/>
  <c r="AT121" i="2"/>
  <c r="AR121" i="2"/>
  <c r="AP121" i="2"/>
  <c r="AN121" i="2"/>
  <c r="AL121" i="2"/>
  <c r="AJ121" i="2"/>
  <c r="AH121" i="2"/>
  <c r="AF121" i="2"/>
  <c r="AD121" i="2"/>
  <c r="AB121" i="2"/>
  <c r="Z121" i="2"/>
  <c r="X121" i="2"/>
  <c r="V121" i="2"/>
  <c r="T121" i="2"/>
  <c r="R121" i="2"/>
  <c r="P121" i="2"/>
  <c r="N121" i="2"/>
  <c r="L121" i="2"/>
  <c r="J121" i="2"/>
  <c r="BL121" i="2" s="1"/>
  <c r="H121" i="2"/>
  <c r="DC120" i="2"/>
  <c r="DB120" i="2"/>
  <c r="DA120" i="2"/>
  <c r="CZ120" i="2"/>
  <c r="CY120" i="2"/>
  <c r="CX120" i="2"/>
  <c r="CW120" i="2"/>
  <c r="CV120" i="2"/>
  <c r="CU120" i="2"/>
  <c r="CT120" i="2"/>
  <c r="CQ120" i="2"/>
  <c r="CP120" i="2"/>
  <c r="CO120" i="2"/>
  <c r="CN120" i="2"/>
  <c r="CM120" i="2"/>
  <c r="CL120" i="2"/>
  <c r="CK120" i="2"/>
  <c r="CJ120" i="2"/>
  <c r="CI120" i="2"/>
  <c r="CH120" i="2"/>
  <c r="BW120" i="2"/>
  <c r="BX120" i="2" s="1"/>
  <c r="BV120" i="2"/>
  <c r="BK120" i="2"/>
  <c r="BJ120" i="2"/>
  <c r="BH120" i="2"/>
  <c r="BF120" i="2"/>
  <c r="BD120" i="2"/>
  <c r="BB120" i="2"/>
  <c r="AZ120" i="2"/>
  <c r="AX120" i="2"/>
  <c r="AV120" i="2"/>
  <c r="AT120" i="2"/>
  <c r="AR120" i="2"/>
  <c r="AP120" i="2"/>
  <c r="AN120" i="2"/>
  <c r="AL120" i="2"/>
  <c r="AD120" i="2"/>
  <c r="AB120" i="2"/>
  <c r="Z120" i="2"/>
  <c r="X120" i="2"/>
  <c r="V120" i="2"/>
  <c r="T120" i="2"/>
  <c r="R120" i="2"/>
  <c r="P120" i="2"/>
  <c r="N120" i="2"/>
  <c r="L120" i="2"/>
  <c r="J120" i="2"/>
  <c r="BL120" i="2" s="1"/>
  <c r="H120" i="2"/>
  <c r="DC119" i="2"/>
  <c r="DB119" i="2"/>
  <c r="DA119" i="2"/>
  <c r="CZ119" i="2"/>
  <c r="CY119" i="2"/>
  <c r="CX119" i="2"/>
  <c r="CW119" i="2"/>
  <c r="CV119" i="2"/>
  <c r="CU119" i="2"/>
  <c r="CT119" i="2"/>
  <c r="CQ119" i="2"/>
  <c r="CP119" i="2"/>
  <c r="CO119" i="2"/>
  <c r="CN119" i="2"/>
  <c r="CM119" i="2"/>
  <c r="CL119" i="2"/>
  <c r="CK119" i="2"/>
  <c r="CJ119" i="2"/>
  <c r="CI119" i="2"/>
  <c r="CH119" i="2"/>
  <c r="BW119" i="2"/>
  <c r="BX119" i="2" s="1"/>
  <c r="BV119" i="2"/>
  <c r="BK119" i="2"/>
  <c r="BJ119" i="2"/>
  <c r="BH119" i="2"/>
  <c r="BF119" i="2"/>
  <c r="BD119" i="2"/>
  <c r="BB119" i="2"/>
  <c r="AZ119" i="2"/>
  <c r="AX119" i="2"/>
  <c r="AV119" i="2"/>
  <c r="AT119" i="2"/>
  <c r="AR119" i="2"/>
  <c r="AP119" i="2"/>
  <c r="AN119" i="2"/>
  <c r="AL119" i="2"/>
  <c r="AJ119" i="2"/>
  <c r="AH119" i="2"/>
  <c r="AF119" i="2"/>
  <c r="AD119" i="2"/>
  <c r="AB119" i="2"/>
  <c r="Z119" i="2"/>
  <c r="X119" i="2"/>
  <c r="V119" i="2"/>
  <c r="T119" i="2"/>
  <c r="R119" i="2"/>
  <c r="P119" i="2"/>
  <c r="N119" i="2"/>
  <c r="L119" i="2"/>
  <c r="J119" i="2"/>
  <c r="BL119" i="2" s="1"/>
  <c r="H119" i="2"/>
  <c r="DC118" i="2"/>
  <c r="DB118" i="2"/>
  <c r="DA118" i="2"/>
  <c r="CZ118" i="2"/>
  <c r="CY118" i="2"/>
  <c r="CX118" i="2"/>
  <c r="CW118" i="2"/>
  <c r="CV118" i="2"/>
  <c r="CU118" i="2"/>
  <c r="CT118" i="2"/>
  <c r="CQ118" i="2"/>
  <c r="CP118" i="2"/>
  <c r="CO118" i="2"/>
  <c r="CN118" i="2"/>
  <c r="CM118" i="2"/>
  <c r="CL118" i="2"/>
  <c r="CK118" i="2"/>
  <c r="CJ118" i="2"/>
  <c r="CI118" i="2"/>
  <c r="CH118" i="2"/>
  <c r="BW118" i="2"/>
  <c r="BX118" i="2" s="1"/>
  <c r="BV118" i="2"/>
  <c r="BK118" i="2"/>
  <c r="BJ118" i="2"/>
  <c r="BH118" i="2"/>
  <c r="BF118" i="2"/>
  <c r="BD118" i="2"/>
  <c r="BB118" i="2"/>
  <c r="AZ118" i="2"/>
  <c r="AX118" i="2"/>
  <c r="AV118" i="2"/>
  <c r="AT118" i="2"/>
  <c r="AR118" i="2"/>
  <c r="AP118" i="2"/>
  <c r="AN118" i="2"/>
  <c r="AL118" i="2"/>
  <c r="AJ118" i="2"/>
  <c r="AH118" i="2"/>
  <c r="AF118" i="2"/>
  <c r="AD118" i="2"/>
  <c r="AB118" i="2"/>
  <c r="Z118" i="2"/>
  <c r="X118" i="2"/>
  <c r="V118" i="2"/>
  <c r="T118" i="2"/>
  <c r="R118" i="2"/>
  <c r="P118" i="2"/>
  <c r="N118" i="2"/>
  <c r="L118" i="2"/>
  <c r="J118" i="2"/>
  <c r="BL118" i="2" s="1"/>
  <c r="H118" i="2"/>
  <c r="DC117" i="2"/>
  <c r="DB117" i="2"/>
  <c r="DA117" i="2"/>
  <c r="CZ117" i="2"/>
  <c r="CY117" i="2"/>
  <c r="CX117" i="2"/>
  <c r="CW117" i="2"/>
  <c r="CV117" i="2"/>
  <c r="CU117" i="2"/>
  <c r="CT117" i="2"/>
  <c r="CQ117" i="2"/>
  <c r="CP117" i="2"/>
  <c r="CO117" i="2"/>
  <c r="CN117" i="2"/>
  <c r="CM117" i="2"/>
  <c r="CL117" i="2"/>
  <c r="CK117" i="2"/>
  <c r="CJ117" i="2"/>
  <c r="CI117" i="2"/>
  <c r="CH117" i="2"/>
  <c r="BW117" i="2"/>
  <c r="BX117" i="2" s="1"/>
  <c r="BV117" i="2"/>
  <c r="BK117" i="2"/>
  <c r="BJ117" i="2"/>
  <c r="BH117" i="2"/>
  <c r="BF117" i="2"/>
  <c r="BD117" i="2"/>
  <c r="BB117" i="2"/>
  <c r="AZ117" i="2"/>
  <c r="AX117" i="2"/>
  <c r="AV117" i="2"/>
  <c r="AT117" i="2"/>
  <c r="AR117" i="2"/>
  <c r="AP117" i="2"/>
  <c r="AN117" i="2"/>
  <c r="AL117" i="2"/>
  <c r="AJ117" i="2"/>
  <c r="AH117" i="2"/>
  <c r="AF117" i="2"/>
  <c r="AD117" i="2"/>
  <c r="AB117" i="2"/>
  <c r="Z117" i="2"/>
  <c r="X117" i="2"/>
  <c r="V117" i="2"/>
  <c r="T117" i="2"/>
  <c r="R117" i="2"/>
  <c r="P117" i="2"/>
  <c r="N117" i="2"/>
  <c r="L117" i="2"/>
  <c r="J117" i="2"/>
  <c r="BL117" i="2" s="1"/>
  <c r="H117" i="2"/>
  <c r="DC116" i="2"/>
  <c r="DB116" i="2"/>
  <c r="DA116" i="2"/>
  <c r="CZ116" i="2"/>
  <c r="CY116" i="2"/>
  <c r="CX116" i="2"/>
  <c r="CW116" i="2"/>
  <c r="CV116" i="2"/>
  <c r="CU116" i="2"/>
  <c r="CT116" i="2"/>
  <c r="CQ116" i="2"/>
  <c r="CP116" i="2"/>
  <c r="CO116" i="2"/>
  <c r="CN116" i="2"/>
  <c r="CM116" i="2"/>
  <c r="CL116" i="2"/>
  <c r="CK116" i="2"/>
  <c r="CJ116" i="2"/>
  <c r="CI116" i="2"/>
  <c r="CH116" i="2"/>
  <c r="BX116" i="2"/>
  <c r="BW116" i="2"/>
  <c r="BV116" i="2"/>
  <c r="BK116" i="2"/>
  <c r="BJ116" i="2"/>
  <c r="BH116" i="2"/>
  <c r="BF116" i="2"/>
  <c r="BD116" i="2"/>
  <c r="BB116" i="2"/>
  <c r="AZ116" i="2"/>
  <c r="AX116" i="2"/>
  <c r="AV116" i="2"/>
  <c r="AT116" i="2"/>
  <c r="AR116" i="2"/>
  <c r="AP116" i="2"/>
  <c r="AN116" i="2"/>
  <c r="AL116" i="2"/>
  <c r="AJ116" i="2"/>
  <c r="AH116" i="2"/>
  <c r="AF116" i="2"/>
  <c r="AD116" i="2"/>
  <c r="AB116" i="2"/>
  <c r="Z116" i="2"/>
  <c r="X116" i="2"/>
  <c r="V116" i="2"/>
  <c r="T116" i="2"/>
  <c r="R116" i="2"/>
  <c r="P116" i="2"/>
  <c r="N116" i="2"/>
  <c r="L116" i="2"/>
  <c r="J116" i="2"/>
  <c r="BL116" i="2" s="1"/>
  <c r="H116" i="2"/>
  <c r="DC115" i="2"/>
  <c r="DB115" i="2"/>
  <c r="DA115" i="2"/>
  <c r="CZ115" i="2"/>
  <c r="CY115" i="2"/>
  <c r="CX115" i="2"/>
  <c r="CW115" i="2"/>
  <c r="CV115" i="2"/>
  <c r="CU115" i="2"/>
  <c r="CT115" i="2"/>
  <c r="CQ115" i="2"/>
  <c r="CP115" i="2"/>
  <c r="CO115" i="2"/>
  <c r="CN115" i="2"/>
  <c r="CM115" i="2"/>
  <c r="CL115" i="2"/>
  <c r="CK115" i="2"/>
  <c r="CJ115" i="2"/>
  <c r="CI115" i="2"/>
  <c r="CH115" i="2"/>
  <c r="BX115" i="2"/>
  <c r="BW115" i="2"/>
  <c r="BV115" i="2"/>
  <c r="BK115" i="2"/>
  <c r="BJ115" i="2"/>
  <c r="BH115" i="2"/>
  <c r="BF115" i="2"/>
  <c r="BD115" i="2"/>
  <c r="BB115" i="2"/>
  <c r="AZ115" i="2"/>
  <c r="AX115" i="2"/>
  <c r="AV115" i="2"/>
  <c r="AT115" i="2"/>
  <c r="AR115" i="2"/>
  <c r="AP115" i="2"/>
  <c r="AN115" i="2"/>
  <c r="AL115" i="2"/>
  <c r="AJ115" i="2"/>
  <c r="AH115" i="2"/>
  <c r="AF115" i="2"/>
  <c r="AD115" i="2"/>
  <c r="AB115" i="2"/>
  <c r="Z115" i="2"/>
  <c r="X115" i="2"/>
  <c r="V115" i="2"/>
  <c r="T115" i="2"/>
  <c r="R115" i="2"/>
  <c r="P115" i="2"/>
  <c r="N115" i="2"/>
  <c r="L115" i="2"/>
  <c r="J115" i="2"/>
  <c r="BL115" i="2" s="1"/>
  <c r="H115" i="2"/>
  <c r="DC114" i="2"/>
  <c r="DB114" i="2"/>
  <c r="DA114" i="2"/>
  <c r="CZ114" i="2"/>
  <c r="CY114" i="2"/>
  <c r="CX114" i="2"/>
  <c r="CW114" i="2"/>
  <c r="CV114" i="2"/>
  <c r="CQ114" i="2"/>
  <c r="CP114" i="2"/>
  <c r="CO114" i="2"/>
  <c r="CN114" i="2"/>
  <c r="CM114" i="2"/>
  <c r="CL114" i="2"/>
  <c r="CK114" i="2"/>
  <c r="CJ114" i="2"/>
  <c r="BX114" i="2"/>
  <c r="BW114" i="2"/>
  <c r="BV114" i="2"/>
  <c r="BL114" i="2"/>
  <c r="BK114" i="2"/>
  <c r="BJ114" i="2"/>
  <c r="BH114" i="2"/>
  <c r="BF114" i="2"/>
  <c r="BD114" i="2"/>
  <c r="BB114" i="2"/>
  <c r="AZ114" i="2"/>
  <c r="AX114" i="2"/>
  <c r="AV114" i="2"/>
  <c r="AT114" i="2"/>
  <c r="AR114" i="2"/>
  <c r="AP114" i="2"/>
  <c r="AN114" i="2"/>
  <c r="AL114" i="2"/>
  <c r="AJ114" i="2"/>
  <c r="AH114" i="2"/>
  <c r="AF114" i="2"/>
  <c r="AD114" i="2"/>
  <c r="AB114" i="2"/>
  <c r="Z114" i="2"/>
  <c r="X114" i="2"/>
  <c r="V114" i="2"/>
  <c r="T114" i="2"/>
  <c r="R114" i="2"/>
  <c r="P114" i="2"/>
  <c r="N114" i="2"/>
  <c r="L114" i="2"/>
  <c r="J114" i="2"/>
  <c r="H114" i="2"/>
  <c r="DC113" i="2"/>
  <c r="DB113" i="2"/>
  <c r="DA113" i="2"/>
  <c r="CZ113" i="2"/>
  <c r="CY113" i="2"/>
  <c r="CX113" i="2"/>
  <c r="CW113" i="2"/>
  <c r="CV113" i="2"/>
  <c r="CU113" i="2"/>
  <c r="CT113" i="2"/>
  <c r="CQ113" i="2"/>
  <c r="CP113" i="2"/>
  <c r="CO113" i="2"/>
  <c r="CN113" i="2"/>
  <c r="CM113" i="2"/>
  <c r="CL113" i="2"/>
  <c r="CK113" i="2"/>
  <c r="CJ113" i="2"/>
  <c r="CI113" i="2"/>
  <c r="CH113" i="2"/>
  <c r="BW113" i="2"/>
  <c r="BV113" i="2"/>
  <c r="BK113" i="2"/>
  <c r="BJ113" i="2"/>
  <c r="BH113" i="2"/>
  <c r="BF113" i="2"/>
  <c r="BD113" i="2"/>
  <c r="BB113" i="2"/>
  <c r="AZ113" i="2"/>
  <c r="AX113" i="2"/>
  <c r="AV113" i="2"/>
  <c r="AT113" i="2"/>
  <c r="AR113" i="2"/>
  <c r="AP113" i="2"/>
  <c r="AN113" i="2"/>
  <c r="AL113" i="2"/>
  <c r="AJ113" i="2"/>
  <c r="AH113" i="2"/>
  <c r="AF113" i="2"/>
  <c r="AD113" i="2"/>
  <c r="AB113" i="2"/>
  <c r="Z113" i="2"/>
  <c r="X113" i="2"/>
  <c r="V113" i="2"/>
  <c r="T113" i="2"/>
  <c r="R113" i="2"/>
  <c r="P113" i="2"/>
  <c r="N113" i="2"/>
  <c r="L113" i="2"/>
  <c r="J113" i="2"/>
  <c r="BL113" i="2" s="1"/>
  <c r="H113" i="2"/>
  <c r="DC112" i="2"/>
  <c r="DB112" i="2"/>
  <c r="DA112" i="2"/>
  <c r="CZ112" i="2"/>
  <c r="CY112" i="2"/>
  <c r="CX112" i="2"/>
  <c r="CW112" i="2"/>
  <c r="CV112" i="2"/>
  <c r="CU112" i="2"/>
  <c r="CT112" i="2"/>
  <c r="CQ112" i="2"/>
  <c r="CP112" i="2"/>
  <c r="CO112" i="2"/>
  <c r="CN112" i="2"/>
  <c r="CM112" i="2"/>
  <c r="CL112" i="2"/>
  <c r="CK112" i="2"/>
  <c r="CJ112" i="2"/>
  <c r="CI112" i="2"/>
  <c r="CH112" i="2"/>
  <c r="BX112" i="2"/>
  <c r="BW112" i="2"/>
  <c r="BV112" i="2"/>
  <c r="BK112" i="2"/>
  <c r="BJ112" i="2"/>
  <c r="BH112" i="2"/>
  <c r="BF112" i="2"/>
  <c r="BD112" i="2"/>
  <c r="BB112" i="2"/>
  <c r="AZ112" i="2"/>
  <c r="AX112" i="2"/>
  <c r="AV112" i="2"/>
  <c r="AT112" i="2"/>
  <c r="AR112" i="2"/>
  <c r="AP112" i="2"/>
  <c r="AN112" i="2"/>
  <c r="AL112" i="2"/>
  <c r="AJ112" i="2"/>
  <c r="AH112" i="2"/>
  <c r="AF112" i="2"/>
  <c r="AD112" i="2"/>
  <c r="AB112" i="2"/>
  <c r="Z112" i="2"/>
  <c r="X112" i="2"/>
  <c r="V112" i="2"/>
  <c r="T112" i="2"/>
  <c r="R112" i="2"/>
  <c r="P112" i="2"/>
  <c r="N112" i="2"/>
  <c r="L112" i="2"/>
  <c r="J112" i="2"/>
  <c r="BL112" i="2" s="1"/>
  <c r="H112" i="2"/>
  <c r="DC111" i="2"/>
  <c r="DB111" i="2"/>
  <c r="DA111" i="2"/>
  <c r="CZ111" i="2"/>
  <c r="CY111" i="2"/>
  <c r="CX111" i="2"/>
  <c r="CW111" i="2"/>
  <c r="CV111" i="2"/>
  <c r="CU111" i="2"/>
  <c r="CT111" i="2"/>
  <c r="CQ111" i="2"/>
  <c r="CP111" i="2"/>
  <c r="CO111" i="2"/>
  <c r="CN111" i="2"/>
  <c r="CM111" i="2"/>
  <c r="CL111" i="2"/>
  <c r="CK111" i="2"/>
  <c r="CJ111" i="2"/>
  <c r="CI111" i="2"/>
  <c r="CH111" i="2"/>
  <c r="BW111" i="2"/>
  <c r="BX111" i="2" s="1"/>
  <c r="BV111" i="2"/>
  <c r="BK111" i="2"/>
  <c r="BJ111" i="2"/>
  <c r="BH111" i="2"/>
  <c r="BF111" i="2"/>
  <c r="BD111" i="2"/>
  <c r="BB111" i="2"/>
  <c r="AZ111" i="2"/>
  <c r="AX111" i="2"/>
  <c r="AV111" i="2"/>
  <c r="AT111" i="2"/>
  <c r="AR111" i="2"/>
  <c r="AP111" i="2"/>
  <c r="AN111" i="2"/>
  <c r="AL111" i="2"/>
  <c r="AJ111" i="2"/>
  <c r="AH111" i="2"/>
  <c r="AF111" i="2"/>
  <c r="AD111" i="2"/>
  <c r="AB111" i="2"/>
  <c r="Z111" i="2"/>
  <c r="X111" i="2"/>
  <c r="V111" i="2"/>
  <c r="T111" i="2"/>
  <c r="R111" i="2"/>
  <c r="P111" i="2"/>
  <c r="N111" i="2"/>
  <c r="L111" i="2"/>
  <c r="J111" i="2"/>
  <c r="BL111" i="2" s="1"/>
  <c r="H111" i="2"/>
  <c r="DC110" i="2"/>
  <c r="DB110" i="2"/>
  <c r="DA110" i="2"/>
  <c r="CZ110" i="2"/>
  <c r="CY110" i="2"/>
  <c r="CX110" i="2"/>
  <c r="CW110" i="2"/>
  <c r="CV110" i="2"/>
  <c r="CU110" i="2"/>
  <c r="CT110" i="2"/>
  <c r="CQ110" i="2"/>
  <c r="CP110" i="2"/>
  <c r="CO110" i="2"/>
  <c r="CN110" i="2"/>
  <c r="CM110" i="2"/>
  <c r="CL110" i="2"/>
  <c r="CK110" i="2"/>
  <c r="CJ110" i="2"/>
  <c r="CI110" i="2"/>
  <c r="CH110" i="2"/>
  <c r="BW110" i="2"/>
  <c r="BX110" i="2" s="1"/>
  <c r="BV110" i="2"/>
  <c r="BK110" i="2"/>
  <c r="BJ110" i="2"/>
  <c r="BH110" i="2"/>
  <c r="BF110" i="2"/>
  <c r="BD110" i="2"/>
  <c r="BB110" i="2"/>
  <c r="AZ110" i="2"/>
  <c r="AX110" i="2"/>
  <c r="AV110" i="2"/>
  <c r="AT110" i="2"/>
  <c r="AR110" i="2"/>
  <c r="AP110" i="2"/>
  <c r="AN110" i="2"/>
  <c r="AL110" i="2"/>
  <c r="AJ110" i="2"/>
  <c r="AH110" i="2"/>
  <c r="AF110" i="2"/>
  <c r="AD110" i="2"/>
  <c r="AB110" i="2"/>
  <c r="Z110" i="2"/>
  <c r="X110" i="2"/>
  <c r="V110" i="2"/>
  <c r="T110" i="2"/>
  <c r="R110" i="2"/>
  <c r="P110" i="2"/>
  <c r="N110" i="2"/>
  <c r="L110" i="2"/>
  <c r="J110" i="2"/>
  <c r="BL110" i="2" s="1"/>
  <c r="H110" i="2"/>
  <c r="DC109" i="2"/>
  <c r="DB109" i="2"/>
  <c r="DA109" i="2"/>
  <c r="CZ109" i="2"/>
  <c r="CY109" i="2"/>
  <c r="CX109" i="2"/>
  <c r="CW109" i="2"/>
  <c r="CV109" i="2"/>
  <c r="CU109" i="2"/>
  <c r="CT109" i="2"/>
  <c r="CQ109" i="2"/>
  <c r="CP109" i="2"/>
  <c r="CO109" i="2"/>
  <c r="CN109" i="2"/>
  <c r="CM109" i="2"/>
  <c r="CL109" i="2"/>
  <c r="CK109" i="2"/>
  <c r="CJ109" i="2"/>
  <c r="CI109" i="2"/>
  <c r="CH109" i="2"/>
  <c r="BW109" i="2"/>
  <c r="BX109" i="2" s="1"/>
  <c r="BV109" i="2"/>
  <c r="BK109" i="2"/>
  <c r="BJ109" i="2"/>
  <c r="BH109" i="2"/>
  <c r="BF109" i="2"/>
  <c r="BD109" i="2"/>
  <c r="BB109" i="2"/>
  <c r="AZ109" i="2"/>
  <c r="AX109" i="2"/>
  <c r="AV109" i="2"/>
  <c r="AT109" i="2"/>
  <c r="AR109" i="2"/>
  <c r="AP109" i="2"/>
  <c r="AN109" i="2"/>
  <c r="AL109" i="2"/>
  <c r="AJ109" i="2"/>
  <c r="AH109" i="2"/>
  <c r="AF109" i="2"/>
  <c r="AD109" i="2"/>
  <c r="AB109" i="2"/>
  <c r="Z109" i="2"/>
  <c r="X109" i="2"/>
  <c r="V109" i="2"/>
  <c r="T109" i="2"/>
  <c r="R109" i="2"/>
  <c r="P109" i="2"/>
  <c r="N109" i="2"/>
  <c r="L109" i="2"/>
  <c r="J109" i="2"/>
  <c r="BL109" i="2" s="1"/>
  <c r="H109" i="2"/>
  <c r="DC108" i="2"/>
  <c r="DB108" i="2"/>
  <c r="DA108" i="2"/>
  <c r="CZ108" i="2"/>
  <c r="CY108" i="2"/>
  <c r="CX108" i="2"/>
  <c r="CW108" i="2"/>
  <c r="CV108" i="2"/>
  <c r="CU108" i="2"/>
  <c r="CQ108" i="2"/>
  <c r="CP108" i="2"/>
  <c r="CO108" i="2"/>
  <c r="CN108" i="2"/>
  <c r="CM108" i="2"/>
  <c r="CL108" i="2"/>
  <c r="CK108" i="2"/>
  <c r="CJ108" i="2"/>
  <c r="CI108" i="2"/>
  <c r="BW108" i="2"/>
  <c r="BV108" i="2"/>
  <c r="BK108" i="2"/>
  <c r="BJ108" i="2"/>
  <c r="BH108" i="2"/>
  <c r="BF108" i="2"/>
  <c r="BD108" i="2"/>
  <c r="BB108" i="2"/>
  <c r="AZ108" i="2"/>
  <c r="AX108" i="2"/>
  <c r="AV108" i="2"/>
  <c r="AT108" i="2"/>
  <c r="AR108" i="2"/>
  <c r="AP108" i="2"/>
  <c r="AN108" i="2"/>
  <c r="AL108" i="2"/>
  <c r="AJ108" i="2"/>
  <c r="AH108" i="2"/>
  <c r="AF108" i="2"/>
  <c r="AD108" i="2"/>
  <c r="AB108" i="2"/>
  <c r="Z108" i="2"/>
  <c r="X108" i="2"/>
  <c r="V108" i="2"/>
  <c r="T108" i="2"/>
  <c r="R108" i="2"/>
  <c r="P108" i="2"/>
  <c r="N108" i="2"/>
  <c r="L108" i="2"/>
  <c r="J108" i="2"/>
  <c r="BL108" i="2" s="1"/>
  <c r="H108" i="2"/>
  <c r="DC107" i="2"/>
  <c r="DB107" i="2"/>
  <c r="DA107" i="2"/>
  <c r="CZ107" i="2"/>
  <c r="CY107" i="2"/>
  <c r="CX107" i="2"/>
  <c r="CW107" i="2"/>
  <c r="CV107" i="2"/>
  <c r="CU107" i="2"/>
  <c r="CT107" i="2"/>
  <c r="CQ107" i="2"/>
  <c r="CP107" i="2"/>
  <c r="CO107" i="2"/>
  <c r="CN107" i="2"/>
  <c r="CM107" i="2"/>
  <c r="CL107" i="2"/>
  <c r="CK107" i="2"/>
  <c r="CJ107" i="2"/>
  <c r="CI107" i="2"/>
  <c r="CH107" i="2"/>
  <c r="BW107" i="2"/>
  <c r="BX107" i="2" s="1"/>
  <c r="BV107" i="2"/>
  <c r="BK107" i="2"/>
  <c r="BJ107" i="2"/>
  <c r="BH107" i="2"/>
  <c r="BF107" i="2"/>
  <c r="BD107" i="2"/>
  <c r="BB107" i="2"/>
  <c r="AZ107" i="2"/>
  <c r="AX107" i="2"/>
  <c r="AV107" i="2"/>
  <c r="AT107" i="2"/>
  <c r="AR107" i="2"/>
  <c r="AP107" i="2"/>
  <c r="AN107" i="2"/>
  <c r="AL107" i="2"/>
  <c r="AD107" i="2"/>
  <c r="AB107" i="2"/>
  <c r="Z107" i="2"/>
  <c r="X107" i="2"/>
  <c r="V107" i="2"/>
  <c r="T107" i="2"/>
  <c r="R107" i="2"/>
  <c r="P107" i="2"/>
  <c r="N107" i="2"/>
  <c r="L107" i="2"/>
  <c r="J107" i="2"/>
  <c r="BL107" i="2" s="1"/>
  <c r="H107" i="2"/>
  <c r="DC106" i="2"/>
  <c r="DB106" i="2"/>
  <c r="DA106" i="2"/>
  <c r="CZ106" i="2"/>
  <c r="CY106" i="2"/>
  <c r="CX106" i="2"/>
  <c r="CW106" i="2"/>
  <c r="CV106" i="2"/>
  <c r="CU106" i="2"/>
  <c r="CQ106" i="2"/>
  <c r="CP106" i="2"/>
  <c r="CO106" i="2"/>
  <c r="CN106" i="2"/>
  <c r="CM106" i="2"/>
  <c r="CL106" i="2"/>
  <c r="CK106" i="2"/>
  <c r="CJ106" i="2"/>
  <c r="CI106" i="2"/>
  <c r="BX106" i="2"/>
  <c r="BW106" i="2"/>
  <c r="BV106" i="2"/>
  <c r="BK106" i="2"/>
  <c r="BJ106" i="2"/>
  <c r="BH106" i="2"/>
  <c r="BF106" i="2"/>
  <c r="BD106" i="2"/>
  <c r="BB106" i="2"/>
  <c r="AZ106" i="2"/>
  <c r="AX106" i="2"/>
  <c r="AV106" i="2"/>
  <c r="AT106" i="2"/>
  <c r="AR106" i="2"/>
  <c r="AP106" i="2"/>
  <c r="AN106" i="2"/>
  <c r="AL106" i="2"/>
  <c r="AJ106" i="2"/>
  <c r="AH106" i="2"/>
  <c r="AF106" i="2"/>
  <c r="AD106" i="2"/>
  <c r="AB106" i="2"/>
  <c r="Z106" i="2"/>
  <c r="X106" i="2"/>
  <c r="V106" i="2"/>
  <c r="T106" i="2"/>
  <c r="R106" i="2"/>
  <c r="P106" i="2"/>
  <c r="N106" i="2"/>
  <c r="L106" i="2"/>
  <c r="J106" i="2"/>
  <c r="BL106" i="2" s="1"/>
  <c r="H106" i="2"/>
  <c r="DC105" i="2"/>
  <c r="DB105" i="2"/>
  <c r="DA105" i="2"/>
  <c r="CZ105" i="2"/>
  <c r="CY105" i="2"/>
  <c r="CX105" i="2"/>
  <c r="CW105" i="2"/>
  <c r="CV105" i="2"/>
  <c r="CU105" i="2"/>
  <c r="CT105" i="2"/>
  <c r="CQ105" i="2"/>
  <c r="CP105" i="2"/>
  <c r="CO105" i="2"/>
  <c r="CN105" i="2"/>
  <c r="CM105" i="2"/>
  <c r="CL105" i="2"/>
  <c r="CK105" i="2"/>
  <c r="CJ105" i="2"/>
  <c r="CI105" i="2"/>
  <c r="CH105" i="2"/>
  <c r="BW105" i="2"/>
  <c r="BV105" i="2"/>
  <c r="BK105" i="2"/>
  <c r="BJ105" i="2"/>
  <c r="BH105" i="2"/>
  <c r="BF105" i="2"/>
  <c r="BD105" i="2"/>
  <c r="BB105" i="2"/>
  <c r="AZ105" i="2"/>
  <c r="AX105" i="2"/>
  <c r="AV105" i="2"/>
  <c r="AT105" i="2"/>
  <c r="AR105" i="2"/>
  <c r="AP105" i="2"/>
  <c r="AN105" i="2"/>
  <c r="AL105" i="2"/>
  <c r="AJ105" i="2"/>
  <c r="AH105" i="2"/>
  <c r="AF105" i="2"/>
  <c r="AD105" i="2"/>
  <c r="AB105" i="2"/>
  <c r="Z105" i="2"/>
  <c r="X105" i="2"/>
  <c r="V105" i="2"/>
  <c r="T105" i="2"/>
  <c r="R105" i="2"/>
  <c r="P105" i="2"/>
  <c r="N105" i="2"/>
  <c r="L105" i="2"/>
  <c r="J105" i="2"/>
  <c r="BL105" i="2" s="1"/>
  <c r="H105" i="2"/>
  <c r="DC104" i="2"/>
  <c r="DB104" i="2"/>
  <c r="DA104" i="2"/>
  <c r="CZ104" i="2"/>
  <c r="CY104" i="2"/>
  <c r="CX104" i="2"/>
  <c r="CW104" i="2"/>
  <c r="CV104" i="2"/>
  <c r="CU104" i="2"/>
  <c r="CT104" i="2"/>
  <c r="CQ104" i="2"/>
  <c r="CP104" i="2"/>
  <c r="CO104" i="2"/>
  <c r="CN104" i="2"/>
  <c r="CM104" i="2"/>
  <c r="CL104" i="2"/>
  <c r="CK104" i="2"/>
  <c r="CJ104" i="2"/>
  <c r="CI104" i="2"/>
  <c r="CH104" i="2"/>
  <c r="BW104" i="2"/>
  <c r="BV104" i="2"/>
  <c r="BK104" i="2"/>
  <c r="BJ104" i="2"/>
  <c r="BH104" i="2"/>
  <c r="BF104" i="2"/>
  <c r="BD104" i="2"/>
  <c r="BB104" i="2"/>
  <c r="AZ104" i="2"/>
  <c r="AX104" i="2"/>
  <c r="AV104" i="2"/>
  <c r="AT104" i="2"/>
  <c r="AR104" i="2"/>
  <c r="AP104" i="2"/>
  <c r="AN104" i="2"/>
  <c r="AL104" i="2"/>
  <c r="AJ104" i="2"/>
  <c r="AH104" i="2"/>
  <c r="AF104" i="2"/>
  <c r="AD104" i="2"/>
  <c r="AB104" i="2"/>
  <c r="Z104" i="2"/>
  <c r="X104" i="2"/>
  <c r="V104" i="2"/>
  <c r="T104" i="2"/>
  <c r="R104" i="2"/>
  <c r="P104" i="2"/>
  <c r="N104" i="2"/>
  <c r="L104" i="2"/>
  <c r="J104" i="2"/>
  <c r="BL104" i="2" s="1"/>
  <c r="H104" i="2"/>
  <c r="DC103" i="2"/>
  <c r="DB103" i="2"/>
  <c r="DA103" i="2"/>
  <c r="CZ103" i="2"/>
  <c r="CY103" i="2"/>
  <c r="CX103" i="2"/>
  <c r="CW103" i="2"/>
  <c r="CV103" i="2"/>
  <c r="CU103" i="2"/>
  <c r="CQ103" i="2"/>
  <c r="CP103" i="2"/>
  <c r="CO103" i="2"/>
  <c r="CN103" i="2"/>
  <c r="CM103" i="2"/>
  <c r="CL103" i="2"/>
  <c r="CK103" i="2"/>
  <c r="CJ103" i="2"/>
  <c r="CI103" i="2"/>
  <c r="BW103" i="2"/>
  <c r="BX103" i="2" s="1"/>
  <c r="BV103" i="2"/>
  <c r="BK103" i="2"/>
  <c r="BJ103" i="2"/>
  <c r="BH103" i="2"/>
  <c r="BF103" i="2"/>
  <c r="BD103" i="2"/>
  <c r="BB103" i="2"/>
  <c r="AZ103" i="2"/>
  <c r="AX103" i="2"/>
  <c r="AV103" i="2"/>
  <c r="AT103" i="2"/>
  <c r="AR103" i="2"/>
  <c r="AP103" i="2"/>
  <c r="AN103" i="2"/>
  <c r="AL103" i="2"/>
  <c r="AJ103" i="2"/>
  <c r="AH103" i="2"/>
  <c r="AF103" i="2"/>
  <c r="AD103" i="2"/>
  <c r="AB103" i="2"/>
  <c r="Z103" i="2"/>
  <c r="X103" i="2"/>
  <c r="V103" i="2"/>
  <c r="T103" i="2"/>
  <c r="R103" i="2"/>
  <c r="P103" i="2"/>
  <c r="N103" i="2"/>
  <c r="L103" i="2"/>
  <c r="J103" i="2"/>
  <c r="BL103" i="2" s="1"/>
  <c r="H103" i="2"/>
  <c r="DC102" i="2"/>
  <c r="DB102" i="2"/>
  <c r="DA102" i="2"/>
  <c r="CZ102" i="2"/>
  <c r="CY102" i="2"/>
  <c r="CX102" i="2"/>
  <c r="CW102" i="2"/>
  <c r="CV102" i="2"/>
  <c r="CU102" i="2"/>
  <c r="CQ102" i="2"/>
  <c r="CP102" i="2"/>
  <c r="CO102" i="2"/>
  <c r="CN102" i="2"/>
  <c r="CM102" i="2"/>
  <c r="CL102" i="2"/>
  <c r="CK102" i="2"/>
  <c r="CJ102" i="2"/>
  <c r="CI102" i="2"/>
  <c r="BW102" i="2"/>
  <c r="BV102" i="2"/>
  <c r="BK102" i="2"/>
  <c r="BJ102" i="2"/>
  <c r="BH102" i="2"/>
  <c r="BF102" i="2"/>
  <c r="BD102" i="2"/>
  <c r="BB102" i="2"/>
  <c r="AZ102" i="2"/>
  <c r="AV102" i="2"/>
  <c r="AT102" i="2"/>
  <c r="AR102" i="2"/>
  <c r="AP102" i="2"/>
  <c r="L102" i="2"/>
  <c r="J102" i="2"/>
  <c r="BL102" i="2" s="1"/>
  <c r="H102" i="2"/>
  <c r="DC101" i="2"/>
  <c r="DB101" i="2"/>
  <c r="DA101" i="2"/>
  <c r="CZ101" i="2"/>
  <c r="CY101" i="2"/>
  <c r="CX101" i="2"/>
  <c r="CW101" i="2"/>
  <c r="CV101" i="2"/>
  <c r="CU101" i="2"/>
  <c r="CT101" i="2"/>
  <c r="CQ101" i="2"/>
  <c r="CP101" i="2"/>
  <c r="CO101" i="2"/>
  <c r="CN101" i="2"/>
  <c r="CM101" i="2"/>
  <c r="CL101" i="2"/>
  <c r="CK101" i="2"/>
  <c r="CJ101" i="2"/>
  <c r="CI101" i="2"/>
  <c r="CH101" i="2"/>
  <c r="BW101" i="2"/>
  <c r="BV101" i="2"/>
  <c r="BK101" i="2"/>
  <c r="BJ101" i="2"/>
  <c r="BH101" i="2"/>
  <c r="BF101" i="2"/>
  <c r="BD101" i="2"/>
  <c r="BB101" i="2"/>
  <c r="AZ101" i="2"/>
  <c r="AX101" i="2"/>
  <c r="AV101" i="2"/>
  <c r="AT101" i="2"/>
  <c r="AR101" i="2"/>
  <c r="AP101" i="2"/>
  <c r="AN101" i="2"/>
  <c r="AL101" i="2"/>
  <c r="AJ101" i="2"/>
  <c r="AH101" i="2"/>
  <c r="AF101" i="2"/>
  <c r="AD101" i="2"/>
  <c r="AB101" i="2"/>
  <c r="Z101" i="2"/>
  <c r="X101" i="2"/>
  <c r="V101" i="2"/>
  <c r="T101" i="2"/>
  <c r="R101" i="2"/>
  <c r="P101" i="2"/>
  <c r="N101" i="2"/>
  <c r="L101" i="2"/>
  <c r="J101" i="2"/>
  <c r="BL101" i="2" s="1"/>
  <c r="H101" i="2"/>
  <c r="DC100" i="2"/>
  <c r="DB100" i="2"/>
  <c r="DA100" i="2"/>
  <c r="CZ100" i="2"/>
  <c r="CY100" i="2"/>
  <c r="CX100" i="2"/>
  <c r="CW100" i="2"/>
  <c r="CV100" i="2"/>
  <c r="CU100" i="2"/>
  <c r="CT100" i="2"/>
  <c r="CQ100" i="2"/>
  <c r="CP100" i="2"/>
  <c r="CO100" i="2"/>
  <c r="CN100" i="2"/>
  <c r="CM100" i="2"/>
  <c r="CL100" i="2"/>
  <c r="CK100" i="2"/>
  <c r="CJ100" i="2"/>
  <c r="CI100" i="2"/>
  <c r="CH100" i="2"/>
  <c r="BW100" i="2"/>
  <c r="BX100" i="2" s="1"/>
  <c r="BV100" i="2"/>
  <c r="BL100" i="2"/>
  <c r="BK100" i="2"/>
  <c r="BJ100" i="2"/>
  <c r="BH100" i="2"/>
  <c r="BF100" i="2"/>
  <c r="BD100" i="2"/>
  <c r="BB100" i="2"/>
  <c r="AZ100" i="2"/>
  <c r="AX100" i="2"/>
  <c r="AV100" i="2"/>
  <c r="AT100" i="2"/>
  <c r="AR100" i="2"/>
  <c r="AP100" i="2"/>
  <c r="AN100" i="2"/>
  <c r="AL100" i="2"/>
  <c r="AJ100" i="2"/>
  <c r="AH100" i="2"/>
  <c r="AF100" i="2"/>
  <c r="AD100" i="2"/>
  <c r="AB100" i="2"/>
  <c r="Z100" i="2"/>
  <c r="X100" i="2"/>
  <c r="V100" i="2"/>
  <c r="T100" i="2"/>
  <c r="R100" i="2"/>
  <c r="P100" i="2"/>
  <c r="N100" i="2"/>
  <c r="L100" i="2"/>
  <c r="J100" i="2"/>
  <c r="H100" i="2"/>
  <c r="DC99" i="2"/>
  <c r="DB99" i="2"/>
  <c r="DA99" i="2"/>
  <c r="CZ99" i="2"/>
  <c r="CY99" i="2"/>
  <c r="CX99" i="2"/>
  <c r="CW99" i="2"/>
  <c r="CV99" i="2"/>
  <c r="CU99" i="2"/>
  <c r="CQ99" i="2"/>
  <c r="CP99" i="2"/>
  <c r="CO99" i="2"/>
  <c r="CN99" i="2"/>
  <c r="CM99" i="2"/>
  <c r="CL99" i="2"/>
  <c r="CK99" i="2"/>
  <c r="CJ99" i="2"/>
  <c r="CI99" i="2"/>
  <c r="BW99" i="2"/>
  <c r="BV99" i="2"/>
  <c r="BK99" i="2"/>
  <c r="BJ99" i="2"/>
  <c r="BH99" i="2"/>
  <c r="BF99" i="2"/>
  <c r="BD99" i="2"/>
  <c r="BB99" i="2"/>
  <c r="AZ99" i="2"/>
  <c r="AX99" i="2"/>
  <c r="AV99" i="2"/>
  <c r="AT99" i="2"/>
  <c r="AR99" i="2"/>
  <c r="AP99" i="2"/>
  <c r="AN99" i="2"/>
  <c r="AL99" i="2"/>
  <c r="AJ99" i="2"/>
  <c r="AH99" i="2"/>
  <c r="AF99" i="2"/>
  <c r="AD99" i="2"/>
  <c r="AB99" i="2"/>
  <c r="Z99" i="2"/>
  <c r="X99" i="2"/>
  <c r="V99" i="2"/>
  <c r="T99" i="2"/>
  <c r="R99" i="2"/>
  <c r="P99" i="2"/>
  <c r="N99" i="2"/>
  <c r="L99" i="2"/>
  <c r="J99" i="2"/>
  <c r="BL99" i="2" s="1"/>
  <c r="H99" i="2"/>
  <c r="DC98" i="2"/>
  <c r="DB98" i="2"/>
  <c r="DA98" i="2"/>
  <c r="CZ98" i="2"/>
  <c r="CY98" i="2"/>
  <c r="CX98" i="2"/>
  <c r="CW98" i="2"/>
  <c r="CQ98" i="2"/>
  <c r="CP98" i="2"/>
  <c r="CO98" i="2"/>
  <c r="CN98" i="2"/>
  <c r="CM98" i="2"/>
  <c r="CL98" i="2"/>
  <c r="CK98" i="2"/>
  <c r="BW98" i="2"/>
  <c r="BX98" i="2" s="1"/>
  <c r="BV98" i="2"/>
  <c r="BK98" i="2"/>
  <c r="BJ98" i="2"/>
  <c r="BH98" i="2"/>
  <c r="BF98" i="2"/>
  <c r="BD98" i="2"/>
  <c r="BB98" i="2"/>
  <c r="AZ98" i="2"/>
  <c r="AX98" i="2"/>
  <c r="AV98" i="2"/>
  <c r="AT98" i="2"/>
  <c r="AR98" i="2"/>
  <c r="AP98" i="2"/>
  <c r="AN98" i="2"/>
  <c r="AL98" i="2"/>
  <c r="AJ98" i="2"/>
  <c r="AH98" i="2"/>
  <c r="AF98" i="2"/>
  <c r="AD98" i="2"/>
  <c r="AB98" i="2"/>
  <c r="Z98" i="2"/>
  <c r="X98" i="2"/>
  <c r="V98" i="2"/>
  <c r="T98" i="2"/>
  <c r="R98" i="2"/>
  <c r="P98" i="2"/>
  <c r="N98" i="2"/>
  <c r="L98" i="2"/>
  <c r="J98" i="2"/>
  <c r="BL98" i="2" s="1"/>
  <c r="H98" i="2"/>
  <c r="DC97" i="2"/>
  <c r="DB97" i="2"/>
  <c r="DA97" i="2"/>
  <c r="CZ97" i="2"/>
  <c r="CY97" i="2"/>
  <c r="CX97" i="2"/>
  <c r="CW97" i="2"/>
  <c r="CV97" i="2"/>
  <c r="CU97" i="2"/>
  <c r="CQ97" i="2"/>
  <c r="CP97" i="2"/>
  <c r="CO97" i="2"/>
  <c r="CN97" i="2"/>
  <c r="CM97" i="2"/>
  <c r="CL97" i="2"/>
  <c r="CK97" i="2"/>
  <c r="CJ97" i="2"/>
  <c r="CI97" i="2"/>
  <c r="BX97" i="2"/>
  <c r="BW97" i="2"/>
  <c r="BV97" i="2"/>
  <c r="BK97" i="2"/>
  <c r="BJ97" i="2"/>
  <c r="BH97" i="2"/>
  <c r="BF97" i="2"/>
  <c r="BD97" i="2"/>
  <c r="BB97" i="2"/>
  <c r="AZ97" i="2"/>
  <c r="AX97" i="2"/>
  <c r="AV97" i="2"/>
  <c r="AT97" i="2"/>
  <c r="AR97" i="2"/>
  <c r="AP97" i="2"/>
  <c r="AN97" i="2"/>
  <c r="AL97" i="2"/>
  <c r="AJ97" i="2"/>
  <c r="AH97" i="2"/>
  <c r="AF97" i="2"/>
  <c r="AD97" i="2"/>
  <c r="AB97" i="2"/>
  <c r="Z97" i="2"/>
  <c r="X97" i="2"/>
  <c r="V97" i="2"/>
  <c r="T97" i="2"/>
  <c r="R97" i="2"/>
  <c r="P97" i="2"/>
  <c r="N97" i="2"/>
  <c r="L97" i="2"/>
  <c r="J97" i="2"/>
  <c r="BL97" i="2" s="1"/>
  <c r="H97" i="2"/>
  <c r="DC96" i="2"/>
  <c r="DB96" i="2"/>
  <c r="DA96" i="2"/>
  <c r="CZ96" i="2"/>
  <c r="CQ96" i="2"/>
  <c r="CP96" i="2"/>
  <c r="CO96" i="2"/>
  <c r="CN96" i="2"/>
  <c r="BW96" i="2"/>
  <c r="BV96" i="2"/>
  <c r="BX96" i="2" s="1"/>
  <c r="BK96" i="2"/>
  <c r="BJ96" i="2"/>
  <c r="BH96" i="2"/>
  <c r="BF96" i="2"/>
  <c r="BD96" i="2"/>
  <c r="BB96" i="2"/>
  <c r="AZ96" i="2"/>
  <c r="AX96" i="2"/>
  <c r="AV96" i="2"/>
  <c r="AT96" i="2"/>
  <c r="AR96" i="2"/>
  <c r="AP96" i="2"/>
  <c r="AN96" i="2"/>
  <c r="AL96" i="2"/>
  <c r="AJ96" i="2"/>
  <c r="AH96" i="2"/>
  <c r="AF96" i="2"/>
  <c r="AD96" i="2"/>
  <c r="AB96" i="2"/>
  <c r="Z96" i="2"/>
  <c r="X96" i="2"/>
  <c r="V96" i="2"/>
  <c r="T96" i="2"/>
  <c r="R96" i="2"/>
  <c r="P96" i="2"/>
  <c r="N96" i="2"/>
  <c r="L96" i="2"/>
  <c r="J96" i="2"/>
  <c r="BL96" i="2" s="1"/>
  <c r="H96" i="2"/>
  <c r="DC95" i="2"/>
  <c r="DB95" i="2"/>
  <c r="DA95" i="2"/>
  <c r="CZ95" i="2"/>
  <c r="CY95" i="2"/>
  <c r="CX95" i="2"/>
  <c r="CW95" i="2"/>
  <c r="CV95" i="2"/>
  <c r="CU95" i="2"/>
  <c r="CT95" i="2"/>
  <c r="CQ95" i="2"/>
  <c r="CP95" i="2"/>
  <c r="CO95" i="2"/>
  <c r="CN95" i="2"/>
  <c r="CM95" i="2"/>
  <c r="CL95" i="2"/>
  <c r="CK95" i="2"/>
  <c r="CJ95" i="2"/>
  <c r="CI95" i="2"/>
  <c r="CH95" i="2"/>
  <c r="BW95" i="2"/>
  <c r="BV95" i="2"/>
  <c r="BX95" i="2" s="1"/>
  <c r="BK95" i="2"/>
  <c r="BJ95" i="2"/>
  <c r="BH95" i="2"/>
  <c r="BF95" i="2"/>
  <c r="BD95" i="2"/>
  <c r="BB95" i="2"/>
  <c r="AZ95" i="2"/>
  <c r="AX95" i="2"/>
  <c r="AV95" i="2"/>
  <c r="AT95" i="2"/>
  <c r="AR95" i="2"/>
  <c r="AP95" i="2"/>
  <c r="AN95" i="2"/>
  <c r="AL95" i="2"/>
  <c r="AJ95" i="2"/>
  <c r="AH95" i="2"/>
  <c r="AF95" i="2"/>
  <c r="AD95" i="2"/>
  <c r="AB95" i="2"/>
  <c r="Z95" i="2"/>
  <c r="X95" i="2"/>
  <c r="V95" i="2"/>
  <c r="T95" i="2"/>
  <c r="R95" i="2"/>
  <c r="P95" i="2"/>
  <c r="N95" i="2"/>
  <c r="L95" i="2"/>
  <c r="J95" i="2"/>
  <c r="BL95" i="2" s="1"/>
  <c r="H95" i="2"/>
  <c r="DC94" i="2"/>
  <c r="DB94" i="2"/>
  <c r="DA94" i="2"/>
  <c r="CZ94" i="2"/>
  <c r="CY94" i="2"/>
  <c r="CX94" i="2"/>
  <c r="CW94" i="2"/>
  <c r="CV94" i="2"/>
  <c r="CU94" i="2"/>
  <c r="CT94" i="2"/>
  <c r="CQ94" i="2"/>
  <c r="CP94" i="2"/>
  <c r="CO94" i="2"/>
  <c r="CN94" i="2"/>
  <c r="CM94" i="2"/>
  <c r="CL94" i="2"/>
  <c r="CK94" i="2"/>
  <c r="CJ94" i="2"/>
  <c r="CI94" i="2"/>
  <c r="CH94" i="2"/>
  <c r="BW94" i="2"/>
  <c r="BX94" i="2" s="1"/>
  <c r="BV94" i="2"/>
  <c r="BK94" i="2"/>
  <c r="BJ94" i="2"/>
  <c r="BH94" i="2"/>
  <c r="BF94" i="2"/>
  <c r="BD94" i="2"/>
  <c r="BB94" i="2"/>
  <c r="AZ94" i="2"/>
  <c r="AX94" i="2"/>
  <c r="AV94" i="2"/>
  <c r="AT94" i="2"/>
  <c r="AR94" i="2"/>
  <c r="AP94" i="2"/>
  <c r="AN94" i="2"/>
  <c r="AL94" i="2"/>
  <c r="AJ94" i="2"/>
  <c r="AH94" i="2"/>
  <c r="AF94" i="2"/>
  <c r="AD94" i="2"/>
  <c r="AB94" i="2"/>
  <c r="Z94" i="2"/>
  <c r="X94" i="2"/>
  <c r="V94" i="2"/>
  <c r="T94" i="2"/>
  <c r="R94" i="2"/>
  <c r="P94" i="2"/>
  <c r="N94" i="2"/>
  <c r="L94" i="2"/>
  <c r="J94" i="2"/>
  <c r="BL94" i="2" s="1"/>
  <c r="H94" i="2"/>
  <c r="DC93" i="2"/>
  <c r="DB93" i="2"/>
  <c r="DA93" i="2"/>
  <c r="CZ93" i="2"/>
  <c r="CY93" i="2"/>
  <c r="CX93" i="2"/>
  <c r="CW93" i="2"/>
  <c r="CV93" i="2"/>
  <c r="CU93" i="2"/>
  <c r="CT93" i="2"/>
  <c r="CQ93" i="2"/>
  <c r="CP93" i="2"/>
  <c r="CO93" i="2"/>
  <c r="CN93" i="2"/>
  <c r="CM93" i="2"/>
  <c r="CL93" i="2"/>
  <c r="CK93" i="2"/>
  <c r="CJ93" i="2"/>
  <c r="CI93" i="2"/>
  <c r="CH93" i="2"/>
  <c r="BW93" i="2"/>
  <c r="BV93" i="2"/>
  <c r="BK93" i="2"/>
  <c r="BJ93" i="2"/>
  <c r="BH93" i="2"/>
  <c r="BF93" i="2"/>
  <c r="BD93" i="2"/>
  <c r="BB93" i="2"/>
  <c r="AZ93" i="2"/>
  <c r="AX93" i="2"/>
  <c r="AV93" i="2"/>
  <c r="AT93" i="2"/>
  <c r="AR93" i="2"/>
  <c r="AP93" i="2"/>
  <c r="AN93" i="2"/>
  <c r="AL93" i="2"/>
  <c r="AJ93" i="2"/>
  <c r="AH93" i="2"/>
  <c r="AF93" i="2"/>
  <c r="AD93" i="2"/>
  <c r="AB93" i="2"/>
  <c r="Z93" i="2"/>
  <c r="X93" i="2"/>
  <c r="V93" i="2"/>
  <c r="T93" i="2"/>
  <c r="R93" i="2"/>
  <c r="P93" i="2"/>
  <c r="N93" i="2"/>
  <c r="L93" i="2"/>
  <c r="J93" i="2"/>
  <c r="BL93" i="2" s="1"/>
  <c r="H93" i="2"/>
  <c r="DC92" i="2"/>
  <c r="DB92" i="2"/>
  <c r="DA92" i="2"/>
  <c r="CZ92" i="2"/>
  <c r="CY92" i="2"/>
  <c r="CX92" i="2"/>
  <c r="CW92" i="2"/>
  <c r="CV92" i="2"/>
  <c r="CU92" i="2"/>
  <c r="CT92" i="2"/>
  <c r="CQ92" i="2"/>
  <c r="CP92" i="2"/>
  <c r="CO92" i="2"/>
  <c r="CN92" i="2"/>
  <c r="CM92" i="2"/>
  <c r="CL92" i="2"/>
  <c r="CK92" i="2"/>
  <c r="CJ92" i="2"/>
  <c r="CI92" i="2"/>
  <c r="CH92" i="2"/>
  <c r="BW92" i="2"/>
  <c r="BX92" i="2" s="1"/>
  <c r="BV92" i="2"/>
  <c r="BK92" i="2"/>
  <c r="BJ92" i="2"/>
  <c r="BH92" i="2"/>
  <c r="BF92" i="2"/>
  <c r="BD92" i="2"/>
  <c r="BB92" i="2"/>
  <c r="AZ92" i="2"/>
  <c r="AX92" i="2"/>
  <c r="AV92" i="2"/>
  <c r="AT92" i="2"/>
  <c r="AR92" i="2"/>
  <c r="AP92" i="2"/>
  <c r="AN92" i="2"/>
  <c r="AL92" i="2"/>
  <c r="AJ92" i="2"/>
  <c r="AH92" i="2"/>
  <c r="AF92" i="2"/>
  <c r="AD92" i="2"/>
  <c r="AB92" i="2"/>
  <c r="Z92" i="2"/>
  <c r="X92" i="2"/>
  <c r="V92" i="2"/>
  <c r="T92" i="2"/>
  <c r="R92" i="2"/>
  <c r="P92" i="2"/>
  <c r="N92" i="2"/>
  <c r="L92" i="2"/>
  <c r="J92" i="2"/>
  <c r="BL92" i="2" s="1"/>
  <c r="H92" i="2"/>
  <c r="DC91" i="2"/>
  <c r="DB91" i="2"/>
  <c r="DA91" i="2"/>
  <c r="CZ91" i="2"/>
  <c r="CY91" i="2"/>
  <c r="CX91" i="2"/>
  <c r="CW91" i="2"/>
  <c r="CV91" i="2"/>
  <c r="CU91" i="2"/>
  <c r="CT91" i="2"/>
  <c r="CQ91" i="2"/>
  <c r="CP91" i="2"/>
  <c r="CO91" i="2"/>
  <c r="CN91" i="2"/>
  <c r="CM91" i="2"/>
  <c r="CL91" i="2"/>
  <c r="CK91" i="2"/>
  <c r="CJ91" i="2"/>
  <c r="CI91" i="2"/>
  <c r="CH91" i="2"/>
  <c r="BX91" i="2"/>
  <c r="BW91" i="2"/>
  <c r="BV91" i="2"/>
  <c r="BK91" i="2"/>
  <c r="BJ91" i="2"/>
  <c r="BH91" i="2"/>
  <c r="BF91" i="2"/>
  <c r="BD91" i="2"/>
  <c r="BB91" i="2"/>
  <c r="AZ91" i="2"/>
  <c r="AX91" i="2"/>
  <c r="AV91" i="2"/>
  <c r="AT91" i="2"/>
  <c r="AR91" i="2"/>
  <c r="AP91" i="2"/>
  <c r="AN91" i="2"/>
  <c r="AL91" i="2"/>
  <c r="AJ91" i="2"/>
  <c r="AH91" i="2"/>
  <c r="AF91" i="2"/>
  <c r="AD91" i="2"/>
  <c r="AB91" i="2"/>
  <c r="Z91" i="2"/>
  <c r="X91" i="2"/>
  <c r="V91" i="2"/>
  <c r="T91" i="2"/>
  <c r="R91" i="2"/>
  <c r="P91" i="2"/>
  <c r="N91" i="2"/>
  <c r="L91" i="2"/>
  <c r="J91" i="2"/>
  <c r="BL91" i="2" s="1"/>
  <c r="H91" i="2"/>
  <c r="DC90" i="2"/>
  <c r="DB90" i="2"/>
  <c r="DA90" i="2"/>
  <c r="CZ90" i="2"/>
  <c r="CY90" i="2"/>
  <c r="CX90" i="2"/>
  <c r="CW90" i="2"/>
  <c r="CV90" i="2"/>
  <c r="CU90" i="2"/>
  <c r="CT90" i="2"/>
  <c r="CQ90" i="2"/>
  <c r="CP90" i="2"/>
  <c r="CO90" i="2"/>
  <c r="CN90" i="2"/>
  <c r="CM90" i="2"/>
  <c r="CL90" i="2"/>
  <c r="CK90" i="2"/>
  <c r="CJ90" i="2"/>
  <c r="CI90" i="2"/>
  <c r="CH90" i="2"/>
  <c r="BW90" i="2"/>
  <c r="BX90" i="2" s="1"/>
  <c r="BV90" i="2"/>
  <c r="BL90" i="2"/>
  <c r="BK90" i="2"/>
  <c r="BJ90" i="2"/>
  <c r="BH90" i="2"/>
  <c r="BF90" i="2"/>
  <c r="BD90" i="2"/>
  <c r="BB90" i="2"/>
  <c r="AZ90" i="2"/>
  <c r="AX90" i="2"/>
  <c r="AV90" i="2"/>
  <c r="AT90" i="2"/>
  <c r="AR90" i="2"/>
  <c r="AP90" i="2"/>
  <c r="AN90" i="2"/>
  <c r="AL90" i="2"/>
  <c r="AJ90" i="2"/>
  <c r="AH90" i="2"/>
  <c r="AF90" i="2"/>
  <c r="AD90" i="2"/>
  <c r="AB90" i="2"/>
  <c r="Z90" i="2"/>
  <c r="X90" i="2"/>
  <c r="V90" i="2"/>
  <c r="T90" i="2"/>
  <c r="R90" i="2"/>
  <c r="P90" i="2"/>
  <c r="N90" i="2"/>
  <c r="L90" i="2"/>
  <c r="J90" i="2"/>
  <c r="H90" i="2"/>
  <c r="DC89" i="2"/>
  <c r="DB89" i="2"/>
  <c r="DA89" i="2"/>
  <c r="CZ89" i="2"/>
  <c r="CY89" i="2"/>
  <c r="CX89" i="2"/>
  <c r="CW89" i="2"/>
  <c r="CV89" i="2"/>
  <c r="CU89" i="2"/>
  <c r="CT89" i="2"/>
  <c r="CQ89" i="2"/>
  <c r="CP89" i="2"/>
  <c r="CO89" i="2"/>
  <c r="CN89" i="2"/>
  <c r="CM89" i="2"/>
  <c r="CL89" i="2"/>
  <c r="CK89" i="2"/>
  <c r="CJ89" i="2"/>
  <c r="CI89" i="2"/>
  <c r="CH89" i="2"/>
  <c r="BW89" i="2"/>
  <c r="BX89" i="2" s="1"/>
  <c r="BV89" i="2"/>
  <c r="BL89" i="2"/>
  <c r="BK89" i="2"/>
  <c r="BJ89" i="2"/>
  <c r="BH89" i="2"/>
  <c r="BF89" i="2"/>
  <c r="BD89" i="2"/>
  <c r="BB89" i="2"/>
  <c r="AZ89" i="2"/>
  <c r="AX89" i="2"/>
  <c r="AV89" i="2"/>
  <c r="AT89" i="2"/>
  <c r="AR89" i="2"/>
  <c r="AP89" i="2"/>
  <c r="AN89" i="2"/>
  <c r="AL89" i="2"/>
  <c r="AJ89" i="2"/>
  <c r="AH89" i="2"/>
  <c r="AF89" i="2"/>
  <c r="AD89" i="2"/>
  <c r="AB89" i="2"/>
  <c r="Z89" i="2"/>
  <c r="X89" i="2"/>
  <c r="V89" i="2"/>
  <c r="T89" i="2"/>
  <c r="R89" i="2"/>
  <c r="P89" i="2"/>
  <c r="N89" i="2"/>
  <c r="L89" i="2"/>
  <c r="J89" i="2"/>
  <c r="H89" i="2"/>
  <c r="DC88" i="2"/>
  <c r="DB88" i="2"/>
  <c r="DA88" i="2"/>
  <c r="CZ88" i="2"/>
  <c r="CY88" i="2"/>
  <c r="CX88" i="2"/>
  <c r="CW88" i="2"/>
  <c r="CV88" i="2"/>
  <c r="CU88" i="2"/>
  <c r="CT88" i="2"/>
  <c r="CQ88" i="2"/>
  <c r="CP88" i="2"/>
  <c r="CO88" i="2"/>
  <c r="CN88" i="2"/>
  <c r="CM88" i="2"/>
  <c r="CL88" i="2"/>
  <c r="CK88" i="2"/>
  <c r="CJ88" i="2"/>
  <c r="CI88" i="2"/>
  <c r="CH88" i="2"/>
  <c r="BW88" i="2"/>
  <c r="BV88" i="2"/>
  <c r="BK88" i="2"/>
  <c r="BJ88" i="2"/>
  <c r="BH88" i="2"/>
  <c r="BF88" i="2"/>
  <c r="BD88" i="2"/>
  <c r="BB88" i="2"/>
  <c r="AZ88" i="2"/>
  <c r="AX88" i="2"/>
  <c r="AV88" i="2"/>
  <c r="AT88" i="2"/>
  <c r="AR88" i="2"/>
  <c r="AP88" i="2"/>
  <c r="AN88" i="2"/>
  <c r="AL88" i="2"/>
  <c r="AJ88" i="2"/>
  <c r="AH88" i="2"/>
  <c r="AF88" i="2"/>
  <c r="AD88" i="2"/>
  <c r="AB88" i="2"/>
  <c r="Z88" i="2"/>
  <c r="X88" i="2"/>
  <c r="V88" i="2"/>
  <c r="T88" i="2"/>
  <c r="R88" i="2"/>
  <c r="P88" i="2"/>
  <c r="N88" i="2"/>
  <c r="L88" i="2"/>
  <c r="J88" i="2"/>
  <c r="BL88" i="2" s="1"/>
  <c r="H88" i="2"/>
  <c r="DC87" i="2"/>
  <c r="DB87" i="2"/>
  <c r="DA87" i="2"/>
  <c r="CZ87" i="2"/>
  <c r="CY87" i="2"/>
  <c r="CX87" i="2"/>
  <c r="CW87" i="2"/>
  <c r="CV87" i="2"/>
  <c r="CU87" i="2"/>
  <c r="CT87" i="2"/>
  <c r="CQ87" i="2"/>
  <c r="CP87" i="2"/>
  <c r="CO87" i="2"/>
  <c r="CN87" i="2"/>
  <c r="CM87" i="2"/>
  <c r="CL87" i="2"/>
  <c r="CK87" i="2"/>
  <c r="CJ87" i="2"/>
  <c r="CI87" i="2"/>
  <c r="CH87" i="2"/>
  <c r="BW87" i="2"/>
  <c r="BX87" i="2" s="1"/>
  <c r="BV87" i="2"/>
  <c r="BK87" i="2"/>
  <c r="BJ87" i="2"/>
  <c r="BH87" i="2"/>
  <c r="BF87" i="2"/>
  <c r="BD87" i="2"/>
  <c r="BB87" i="2"/>
  <c r="AZ87" i="2"/>
  <c r="AX87" i="2"/>
  <c r="AV87" i="2"/>
  <c r="AT87" i="2"/>
  <c r="AR87" i="2"/>
  <c r="AP87" i="2"/>
  <c r="AN87" i="2"/>
  <c r="AL87" i="2"/>
  <c r="AJ87" i="2"/>
  <c r="AH87" i="2"/>
  <c r="AF87" i="2"/>
  <c r="AD87" i="2"/>
  <c r="AB87" i="2"/>
  <c r="Z87" i="2"/>
  <c r="X87" i="2"/>
  <c r="V87" i="2"/>
  <c r="T87" i="2"/>
  <c r="R87" i="2"/>
  <c r="P87" i="2"/>
  <c r="N87" i="2"/>
  <c r="L87" i="2"/>
  <c r="J87" i="2"/>
  <c r="BL87" i="2" s="1"/>
  <c r="H87" i="2"/>
  <c r="DC86" i="2"/>
  <c r="DB86" i="2"/>
  <c r="DA86" i="2"/>
  <c r="CZ86" i="2"/>
  <c r="CY86" i="2"/>
  <c r="CX86" i="2"/>
  <c r="CW86" i="2"/>
  <c r="CV86" i="2"/>
  <c r="CU86" i="2"/>
  <c r="CT86" i="2"/>
  <c r="CQ86" i="2"/>
  <c r="CP86" i="2"/>
  <c r="CO86" i="2"/>
  <c r="CN86" i="2"/>
  <c r="CM86" i="2"/>
  <c r="CL86" i="2"/>
  <c r="CK86" i="2"/>
  <c r="CJ86" i="2"/>
  <c r="CI86" i="2"/>
  <c r="CH86" i="2"/>
  <c r="BW86" i="2"/>
  <c r="BV86" i="2"/>
  <c r="BK86" i="2"/>
  <c r="BJ86" i="2"/>
  <c r="BH86" i="2"/>
  <c r="BF86" i="2"/>
  <c r="BD86" i="2"/>
  <c r="BB86" i="2"/>
  <c r="AZ86" i="2"/>
  <c r="AX86" i="2"/>
  <c r="AV86" i="2"/>
  <c r="AT86" i="2"/>
  <c r="AR86" i="2"/>
  <c r="AP86" i="2"/>
  <c r="AN86" i="2"/>
  <c r="AL86" i="2"/>
  <c r="AJ86" i="2"/>
  <c r="AH86" i="2"/>
  <c r="AF86" i="2"/>
  <c r="AD86" i="2"/>
  <c r="AB86" i="2"/>
  <c r="Z86" i="2"/>
  <c r="X86" i="2"/>
  <c r="V86" i="2"/>
  <c r="T86" i="2"/>
  <c r="R86" i="2"/>
  <c r="P86" i="2"/>
  <c r="N86" i="2"/>
  <c r="L86" i="2"/>
  <c r="J86" i="2"/>
  <c r="BL86" i="2" s="1"/>
  <c r="H86" i="2"/>
  <c r="DC85" i="2"/>
  <c r="DB85" i="2"/>
  <c r="DA85" i="2"/>
  <c r="CZ85" i="2"/>
  <c r="CY85" i="2"/>
  <c r="CX85" i="2"/>
  <c r="CW85" i="2"/>
  <c r="CV85" i="2"/>
  <c r="CU85" i="2"/>
  <c r="CT85" i="2"/>
  <c r="CQ85" i="2"/>
  <c r="CP85" i="2"/>
  <c r="CO85" i="2"/>
  <c r="CN85" i="2"/>
  <c r="CM85" i="2"/>
  <c r="CL85" i="2"/>
  <c r="CK85" i="2"/>
  <c r="CJ85" i="2"/>
  <c r="CI85" i="2"/>
  <c r="CH85" i="2"/>
  <c r="BW85" i="2"/>
  <c r="BX85" i="2" s="1"/>
  <c r="BV85" i="2"/>
  <c r="BK85" i="2"/>
  <c r="BJ85" i="2"/>
  <c r="BH85" i="2"/>
  <c r="BF85" i="2"/>
  <c r="BD85" i="2"/>
  <c r="BB85" i="2"/>
  <c r="AZ85" i="2"/>
  <c r="AX85" i="2"/>
  <c r="AV85" i="2"/>
  <c r="AT85" i="2"/>
  <c r="AR85" i="2"/>
  <c r="AP85" i="2"/>
  <c r="AN85" i="2"/>
  <c r="AL85" i="2"/>
  <c r="AJ85" i="2"/>
  <c r="AH85" i="2"/>
  <c r="AF85" i="2"/>
  <c r="AD85" i="2"/>
  <c r="AB85" i="2"/>
  <c r="Z85" i="2"/>
  <c r="X85" i="2"/>
  <c r="V85" i="2"/>
  <c r="T85" i="2"/>
  <c r="R85" i="2"/>
  <c r="P85" i="2"/>
  <c r="N85" i="2"/>
  <c r="L85" i="2"/>
  <c r="J85" i="2"/>
  <c r="BL85" i="2" s="1"/>
  <c r="H85" i="2"/>
  <c r="DC84" i="2"/>
  <c r="DB84" i="2"/>
  <c r="DA84" i="2"/>
  <c r="CZ84" i="2"/>
  <c r="CY84" i="2"/>
  <c r="CX84" i="2"/>
  <c r="CW84" i="2"/>
  <c r="CV84" i="2"/>
  <c r="CU84" i="2"/>
  <c r="CT84" i="2"/>
  <c r="CQ84" i="2"/>
  <c r="CP84" i="2"/>
  <c r="CO84" i="2"/>
  <c r="CN84" i="2"/>
  <c r="CM84" i="2"/>
  <c r="CL84" i="2"/>
  <c r="CK84" i="2"/>
  <c r="CJ84" i="2"/>
  <c r="CI84" i="2"/>
  <c r="CH84" i="2"/>
  <c r="BW84" i="2"/>
  <c r="BV84" i="2"/>
  <c r="BK84" i="2"/>
  <c r="BJ84" i="2"/>
  <c r="BH84" i="2"/>
  <c r="BF84" i="2"/>
  <c r="BD84" i="2"/>
  <c r="BB84" i="2"/>
  <c r="AZ84" i="2"/>
  <c r="AX84" i="2"/>
  <c r="AV84" i="2"/>
  <c r="AT84" i="2"/>
  <c r="AR84" i="2"/>
  <c r="AP84" i="2"/>
  <c r="AN84" i="2"/>
  <c r="AL84" i="2"/>
  <c r="AJ84" i="2"/>
  <c r="AH84" i="2"/>
  <c r="AF84" i="2"/>
  <c r="AD84" i="2"/>
  <c r="AB84" i="2"/>
  <c r="Z84" i="2"/>
  <c r="X84" i="2"/>
  <c r="V84" i="2"/>
  <c r="T84" i="2"/>
  <c r="R84" i="2"/>
  <c r="P84" i="2"/>
  <c r="N84" i="2"/>
  <c r="L84" i="2"/>
  <c r="J84" i="2"/>
  <c r="BL84" i="2" s="1"/>
  <c r="H84" i="2"/>
  <c r="DC83" i="2"/>
  <c r="DB83" i="2"/>
  <c r="DA83" i="2"/>
  <c r="CZ83" i="2"/>
  <c r="CY83" i="2"/>
  <c r="CX83" i="2"/>
  <c r="CW83" i="2"/>
  <c r="CQ83" i="2"/>
  <c r="CP83" i="2"/>
  <c r="CO83" i="2"/>
  <c r="CN83" i="2"/>
  <c r="CM83" i="2"/>
  <c r="CL83" i="2"/>
  <c r="CK83" i="2"/>
  <c r="BW83" i="2"/>
  <c r="BV83" i="2"/>
  <c r="BX83" i="2" s="1"/>
  <c r="BK83" i="2"/>
  <c r="BJ83" i="2"/>
  <c r="BH83" i="2"/>
  <c r="BF83" i="2"/>
  <c r="BD83" i="2"/>
  <c r="BB83" i="2"/>
  <c r="AZ83" i="2"/>
  <c r="AX83" i="2"/>
  <c r="AV83" i="2"/>
  <c r="AT83" i="2"/>
  <c r="AR83" i="2"/>
  <c r="AP83" i="2"/>
  <c r="AN83" i="2"/>
  <c r="AL83" i="2"/>
  <c r="AJ83" i="2"/>
  <c r="AH83" i="2"/>
  <c r="AF83" i="2"/>
  <c r="AD83" i="2"/>
  <c r="AB83" i="2"/>
  <c r="Z83" i="2"/>
  <c r="X83" i="2"/>
  <c r="V83" i="2"/>
  <c r="T83" i="2"/>
  <c r="R83" i="2"/>
  <c r="P83" i="2"/>
  <c r="N83" i="2"/>
  <c r="L83" i="2"/>
  <c r="J83" i="2"/>
  <c r="BL83" i="2" s="1"/>
  <c r="H83" i="2"/>
  <c r="DC82" i="2"/>
  <c r="DB82" i="2"/>
  <c r="DA82" i="2"/>
  <c r="CZ82" i="2"/>
  <c r="CY82" i="2"/>
  <c r="CX82" i="2"/>
  <c r="CW82" i="2"/>
  <c r="CV82" i="2"/>
  <c r="CU82" i="2"/>
  <c r="CT82" i="2"/>
  <c r="CQ82" i="2"/>
  <c r="CP82" i="2"/>
  <c r="CO82" i="2"/>
  <c r="CN82" i="2"/>
  <c r="CM82" i="2"/>
  <c r="CL82" i="2"/>
  <c r="CK82" i="2"/>
  <c r="CJ82" i="2"/>
  <c r="CI82" i="2"/>
  <c r="CH82" i="2"/>
  <c r="BW82" i="2"/>
  <c r="BX82" i="2" s="1"/>
  <c r="BV82" i="2"/>
  <c r="BK82" i="2"/>
  <c r="BJ82" i="2"/>
  <c r="BH82" i="2"/>
  <c r="BF82" i="2"/>
  <c r="BD82" i="2"/>
  <c r="BB82" i="2"/>
  <c r="AZ82" i="2"/>
  <c r="AX82" i="2"/>
  <c r="AV82" i="2"/>
  <c r="AT82" i="2"/>
  <c r="AR82" i="2"/>
  <c r="AP82" i="2"/>
  <c r="AN82" i="2"/>
  <c r="AL82" i="2"/>
  <c r="AJ82" i="2"/>
  <c r="AH82" i="2"/>
  <c r="AF82" i="2"/>
  <c r="AD82" i="2"/>
  <c r="AB82" i="2"/>
  <c r="Z82" i="2"/>
  <c r="X82" i="2"/>
  <c r="V82" i="2"/>
  <c r="T82" i="2"/>
  <c r="R82" i="2"/>
  <c r="P82" i="2"/>
  <c r="N82" i="2"/>
  <c r="L82" i="2"/>
  <c r="J82" i="2"/>
  <c r="BL82" i="2" s="1"/>
  <c r="H82" i="2"/>
  <c r="DC81" i="2"/>
  <c r="DB81" i="2"/>
  <c r="DA81" i="2"/>
  <c r="CZ81" i="2"/>
  <c r="CY81" i="2"/>
  <c r="CX81" i="2"/>
  <c r="CW81" i="2"/>
  <c r="CV81" i="2"/>
  <c r="CU81" i="2"/>
  <c r="CT81" i="2"/>
  <c r="CQ81" i="2"/>
  <c r="CP81" i="2"/>
  <c r="CO81" i="2"/>
  <c r="CN81" i="2"/>
  <c r="CM81" i="2"/>
  <c r="CL81" i="2"/>
  <c r="CK81" i="2"/>
  <c r="CJ81" i="2"/>
  <c r="CI81" i="2"/>
  <c r="CH81" i="2"/>
  <c r="BW81" i="2"/>
  <c r="BV81" i="2"/>
  <c r="BX81" i="2" s="1"/>
  <c r="BK81" i="2"/>
  <c r="BJ81" i="2"/>
  <c r="BH81" i="2"/>
  <c r="BF81" i="2"/>
  <c r="BD81" i="2"/>
  <c r="BB81" i="2"/>
  <c r="AZ81" i="2"/>
  <c r="AX81" i="2"/>
  <c r="AV81" i="2"/>
  <c r="AT81" i="2"/>
  <c r="AR81" i="2"/>
  <c r="AP81" i="2"/>
  <c r="AN81" i="2"/>
  <c r="AL81" i="2"/>
  <c r="AJ81" i="2"/>
  <c r="AH81" i="2"/>
  <c r="AF81" i="2"/>
  <c r="AD81" i="2"/>
  <c r="AB81" i="2"/>
  <c r="Z81" i="2"/>
  <c r="X81" i="2"/>
  <c r="V81" i="2"/>
  <c r="T81" i="2"/>
  <c r="R81" i="2"/>
  <c r="P81" i="2"/>
  <c r="N81" i="2"/>
  <c r="L81" i="2"/>
  <c r="J81" i="2"/>
  <c r="BL81" i="2" s="1"/>
  <c r="H81" i="2"/>
  <c r="DC80" i="2"/>
  <c r="DB80" i="2"/>
  <c r="DA80" i="2"/>
  <c r="CZ80" i="2"/>
  <c r="CY80" i="2"/>
  <c r="CX80" i="2"/>
  <c r="CW80" i="2"/>
  <c r="CV80" i="2"/>
  <c r="CU80" i="2"/>
  <c r="CT80" i="2"/>
  <c r="CQ80" i="2"/>
  <c r="CP80" i="2"/>
  <c r="CO80" i="2"/>
  <c r="CN80" i="2"/>
  <c r="CM80" i="2"/>
  <c r="CL80" i="2"/>
  <c r="CK80" i="2"/>
  <c r="CJ80" i="2"/>
  <c r="CI80" i="2"/>
  <c r="CH80" i="2"/>
  <c r="BW80" i="2"/>
  <c r="BX80" i="2" s="1"/>
  <c r="BV80" i="2"/>
  <c r="BK80" i="2"/>
  <c r="BJ80" i="2"/>
  <c r="BH80" i="2"/>
  <c r="BF80" i="2"/>
  <c r="BD80" i="2"/>
  <c r="BB80" i="2"/>
  <c r="AZ80" i="2"/>
  <c r="AX80" i="2"/>
  <c r="AV80" i="2"/>
  <c r="AT80" i="2"/>
  <c r="AR80" i="2"/>
  <c r="AP80" i="2"/>
  <c r="AN80" i="2"/>
  <c r="AL80" i="2"/>
  <c r="AJ80" i="2"/>
  <c r="AH80" i="2"/>
  <c r="AF80" i="2"/>
  <c r="AD80" i="2"/>
  <c r="AB80" i="2"/>
  <c r="Z80" i="2"/>
  <c r="X80" i="2"/>
  <c r="V80" i="2"/>
  <c r="T80" i="2"/>
  <c r="R80" i="2"/>
  <c r="P80" i="2"/>
  <c r="N80" i="2"/>
  <c r="L80" i="2"/>
  <c r="J80" i="2"/>
  <c r="BL80" i="2" s="1"/>
  <c r="H80" i="2"/>
  <c r="DC79" i="2"/>
  <c r="DB79" i="2"/>
  <c r="DA79" i="2"/>
  <c r="CZ79" i="2"/>
  <c r="CY79" i="2"/>
  <c r="CX79" i="2"/>
  <c r="CW79" i="2"/>
  <c r="CV79" i="2"/>
  <c r="CU79" i="2"/>
  <c r="CT79" i="2"/>
  <c r="CQ79" i="2"/>
  <c r="CP79" i="2"/>
  <c r="CO79" i="2"/>
  <c r="CN79" i="2"/>
  <c r="CM79" i="2"/>
  <c r="CL79" i="2"/>
  <c r="CK79" i="2"/>
  <c r="CJ79" i="2"/>
  <c r="CI79" i="2"/>
  <c r="CH79" i="2"/>
  <c r="BW79" i="2"/>
  <c r="BX79" i="2" s="1"/>
  <c r="BV79" i="2"/>
  <c r="BK79" i="2"/>
  <c r="BJ79" i="2"/>
  <c r="BH79" i="2"/>
  <c r="BF79" i="2"/>
  <c r="BD79" i="2"/>
  <c r="BB79" i="2"/>
  <c r="AZ79" i="2"/>
  <c r="AX79" i="2"/>
  <c r="AV79" i="2"/>
  <c r="AT79" i="2"/>
  <c r="AR79" i="2"/>
  <c r="AP79" i="2"/>
  <c r="AN79" i="2"/>
  <c r="AL79" i="2"/>
  <c r="AJ79" i="2"/>
  <c r="AH79" i="2"/>
  <c r="AF79" i="2"/>
  <c r="AD79" i="2"/>
  <c r="AB79" i="2"/>
  <c r="Z79" i="2"/>
  <c r="X79" i="2"/>
  <c r="V79" i="2"/>
  <c r="T79" i="2"/>
  <c r="R79" i="2"/>
  <c r="P79" i="2"/>
  <c r="N79" i="2"/>
  <c r="L79" i="2"/>
  <c r="J79" i="2"/>
  <c r="BL79" i="2" s="1"/>
  <c r="H79" i="2"/>
  <c r="DC78" i="2"/>
  <c r="DB78" i="2"/>
  <c r="DA78" i="2"/>
  <c r="CZ78" i="2"/>
  <c r="CY78" i="2"/>
  <c r="CX78" i="2"/>
  <c r="CW78" i="2"/>
  <c r="CV78" i="2"/>
  <c r="CU78" i="2"/>
  <c r="CT78" i="2"/>
  <c r="CQ78" i="2"/>
  <c r="CP78" i="2"/>
  <c r="CO78" i="2"/>
  <c r="CN78" i="2"/>
  <c r="CM78" i="2"/>
  <c r="CL78" i="2"/>
  <c r="CK78" i="2"/>
  <c r="CJ78" i="2"/>
  <c r="CI78" i="2"/>
  <c r="CH78" i="2"/>
  <c r="BW78" i="2"/>
  <c r="BV78" i="2"/>
  <c r="BK78" i="2"/>
  <c r="BJ78" i="2"/>
  <c r="BH78" i="2"/>
  <c r="BF78" i="2"/>
  <c r="BD78" i="2"/>
  <c r="BB78" i="2"/>
  <c r="AZ78" i="2"/>
  <c r="AX78" i="2"/>
  <c r="AV78" i="2"/>
  <c r="AT78" i="2"/>
  <c r="AR78" i="2"/>
  <c r="AP78" i="2"/>
  <c r="AN78" i="2"/>
  <c r="AL78" i="2"/>
  <c r="AJ78" i="2"/>
  <c r="AH78" i="2"/>
  <c r="AF78" i="2"/>
  <c r="AD78" i="2"/>
  <c r="AB78" i="2"/>
  <c r="Z78" i="2"/>
  <c r="X78" i="2"/>
  <c r="V78" i="2"/>
  <c r="T78" i="2"/>
  <c r="R78" i="2"/>
  <c r="P78" i="2"/>
  <c r="N78" i="2"/>
  <c r="L78" i="2"/>
  <c r="J78" i="2"/>
  <c r="BL78" i="2" s="1"/>
  <c r="H78" i="2"/>
  <c r="DC77" i="2"/>
  <c r="DB77" i="2"/>
  <c r="DA77" i="2"/>
  <c r="CZ77" i="2"/>
  <c r="CY77" i="2"/>
  <c r="CX77" i="2"/>
  <c r="CW77" i="2"/>
  <c r="CV77" i="2"/>
  <c r="CU77" i="2"/>
  <c r="CT77" i="2"/>
  <c r="CQ77" i="2"/>
  <c r="CP77" i="2"/>
  <c r="CO77" i="2"/>
  <c r="CN77" i="2"/>
  <c r="CM77" i="2"/>
  <c r="CL77" i="2"/>
  <c r="CK77" i="2"/>
  <c r="CJ77" i="2"/>
  <c r="CI77" i="2"/>
  <c r="CH77" i="2"/>
  <c r="BW77" i="2"/>
  <c r="BX77" i="2" s="1"/>
  <c r="BV77" i="2"/>
  <c r="BL77" i="2"/>
  <c r="BK77" i="2"/>
  <c r="BJ77" i="2"/>
  <c r="BH77" i="2"/>
  <c r="BF77" i="2"/>
  <c r="BD77" i="2"/>
  <c r="BB77" i="2"/>
  <c r="AZ77" i="2"/>
  <c r="AX77" i="2"/>
  <c r="AV77" i="2"/>
  <c r="AT77" i="2"/>
  <c r="AR77" i="2"/>
  <c r="AP77" i="2"/>
  <c r="AN77" i="2"/>
  <c r="AL77" i="2"/>
  <c r="AJ77" i="2"/>
  <c r="AH77" i="2"/>
  <c r="AF77" i="2"/>
  <c r="AD77" i="2"/>
  <c r="AB77" i="2"/>
  <c r="Z77" i="2"/>
  <c r="X77" i="2"/>
  <c r="V77" i="2"/>
  <c r="T77" i="2"/>
  <c r="R77" i="2"/>
  <c r="P77" i="2"/>
  <c r="N77" i="2"/>
  <c r="L77" i="2"/>
  <c r="J77" i="2"/>
  <c r="H77" i="2"/>
  <c r="DC76" i="2"/>
  <c r="DB76" i="2"/>
  <c r="DA76" i="2"/>
  <c r="CZ76" i="2"/>
  <c r="CY76" i="2"/>
  <c r="CX76" i="2"/>
  <c r="CW76" i="2"/>
  <c r="CV76" i="2"/>
  <c r="CU76" i="2"/>
  <c r="CQ76" i="2"/>
  <c r="CP76" i="2"/>
  <c r="CO76" i="2"/>
  <c r="CN76" i="2"/>
  <c r="CM76" i="2"/>
  <c r="CL76" i="2"/>
  <c r="CK76" i="2"/>
  <c r="CJ76" i="2"/>
  <c r="CI76" i="2"/>
  <c r="BW76" i="2"/>
  <c r="BX76" i="2" s="1"/>
  <c r="BV76" i="2"/>
  <c r="BK76" i="2"/>
  <c r="BJ76" i="2"/>
  <c r="BH76" i="2"/>
  <c r="BF76" i="2"/>
  <c r="BD76" i="2"/>
  <c r="BB76" i="2"/>
  <c r="AZ76" i="2"/>
  <c r="AX76" i="2"/>
  <c r="AV76" i="2"/>
  <c r="AT76" i="2"/>
  <c r="AR76" i="2"/>
  <c r="AP76" i="2"/>
  <c r="AN76" i="2"/>
  <c r="AL76" i="2"/>
  <c r="AJ76" i="2"/>
  <c r="AH76" i="2"/>
  <c r="AF76" i="2"/>
  <c r="AD76" i="2"/>
  <c r="AB76" i="2"/>
  <c r="Z76" i="2"/>
  <c r="X76" i="2"/>
  <c r="V76" i="2"/>
  <c r="T76" i="2"/>
  <c r="R76" i="2"/>
  <c r="P76" i="2"/>
  <c r="N76" i="2"/>
  <c r="L76" i="2"/>
  <c r="J76" i="2"/>
  <c r="BL76" i="2" s="1"/>
  <c r="H76" i="2"/>
  <c r="DC75" i="2"/>
  <c r="DB75" i="2"/>
  <c r="DA75" i="2"/>
  <c r="CZ75" i="2"/>
  <c r="CY75" i="2"/>
  <c r="CX75" i="2"/>
  <c r="CW75" i="2"/>
  <c r="CV75" i="2"/>
  <c r="CU75" i="2"/>
  <c r="CT75" i="2"/>
  <c r="CQ75" i="2"/>
  <c r="CP75" i="2"/>
  <c r="CO75" i="2"/>
  <c r="CN75" i="2"/>
  <c r="CM75" i="2"/>
  <c r="CL75" i="2"/>
  <c r="CK75" i="2"/>
  <c r="CJ75" i="2"/>
  <c r="CI75" i="2"/>
  <c r="CH75" i="2"/>
  <c r="BW75" i="2"/>
  <c r="BV75" i="2"/>
  <c r="BK75" i="2"/>
  <c r="BJ75" i="2"/>
  <c r="BH75" i="2"/>
  <c r="BF75" i="2"/>
  <c r="BD75" i="2"/>
  <c r="BB75" i="2"/>
  <c r="AZ75" i="2"/>
  <c r="AX75" i="2"/>
  <c r="AV75" i="2"/>
  <c r="AT75" i="2"/>
  <c r="AR75" i="2"/>
  <c r="AP75" i="2"/>
  <c r="AN75" i="2"/>
  <c r="AL75" i="2"/>
  <c r="AJ75" i="2"/>
  <c r="AH75" i="2"/>
  <c r="AF75" i="2"/>
  <c r="AD75" i="2"/>
  <c r="AB75" i="2"/>
  <c r="Z75" i="2"/>
  <c r="X75" i="2"/>
  <c r="V75" i="2"/>
  <c r="T75" i="2"/>
  <c r="R75" i="2"/>
  <c r="P75" i="2"/>
  <c r="N75" i="2"/>
  <c r="L75" i="2"/>
  <c r="J75" i="2"/>
  <c r="BL75" i="2" s="1"/>
  <c r="H75" i="2"/>
  <c r="DC74" i="2"/>
  <c r="DB74" i="2"/>
  <c r="DA74" i="2"/>
  <c r="CZ74" i="2"/>
  <c r="CY74" i="2"/>
  <c r="CX74" i="2"/>
  <c r="CW74" i="2"/>
  <c r="CV74" i="2"/>
  <c r="CU74" i="2"/>
  <c r="CT74" i="2"/>
  <c r="CQ74" i="2"/>
  <c r="CP74" i="2"/>
  <c r="CO74" i="2"/>
  <c r="CN74" i="2"/>
  <c r="CM74" i="2"/>
  <c r="CL74" i="2"/>
  <c r="CK74" i="2"/>
  <c r="CJ74" i="2"/>
  <c r="CI74" i="2"/>
  <c r="CH74" i="2"/>
  <c r="BW74" i="2"/>
  <c r="BX74" i="2" s="1"/>
  <c r="BV74" i="2"/>
  <c r="BK74" i="2"/>
  <c r="BJ74" i="2"/>
  <c r="BH74" i="2"/>
  <c r="BF74" i="2"/>
  <c r="BD74" i="2"/>
  <c r="BB74" i="2"/>
  <c r="AZ74" i="2"/>
  <c r="AX74" i="2"/>
  <c r="AV74" i="2"/>
  <c r="AT74" i="2"/>
  <c r="AR74" i="2"/>
  <c r="AP74" i="2"/>
  <c r="AN74" i="2"/>
  <c r="AL74" i="2"/>
  <c r="AJ74" i="2"/>
  <c r="AH74" i="2"/>
  <c r="AF74" i="2"/>
  <c r="AD74" i="2"/>
  <c r="AB74" i="2"/>
  <c r="Z74" i="2"/>
  <c r="X74" i="2"/>
  <c r="V74" i="2"/>
  <c r="T74" i="2"/>
  <c r="R74" i="2"/>
  <c r="P74" i="2"/>
  <c r="N74" i="2"/>
  <c r="K74" i="2"/>
  <c r="L74" i="2" s="1"/>
  <c r="J74" i="2"/>
  <c r="H74" i="2"/>
  <c r="DC73" i="2"/>
  <c r="DB73" i="2"/>
  <c r="DA73" i="2"/>
  <c r="CZ73" i="2"/>
  <c r="CY73" i="2"/>
  <c r="CX73" i="2"/>
  <c r="CW73" i="2"/>
  <c r="CV73" i="2"/>
  <c r="CU73" i="2"/>
  <c r="CT73" i="2"/>
  <c r="CQ73" i="2"/>
  <c r="CP73" i="2"/>
  <c r="CO73" i="2"/>
  <c r="CN73" i="2"/>
  <c r="CM73" i="2"/>
  <c r="CL73" i="2"/>
  <c r="CK73" i="2"/>
  <c r="CJ73" i="2"/>
  <c r="CI73" i="2"/>
  <c r="CH73" i="2"/>
  <c r="BX73" i="2"/>
  <c r="BW73" i="2"/>
  <c r="BV73" i="2"/>
  <c r="BK73" i="2"/>
  <c r="BJ73" i="2"/>
  <c r="BH73" i="2"/>
  <c r="BF73" i="2"/>
  <c r="BD73" i="2"/>
  <c r="BB73" i="2"/>
  <c r="AZ73" i="2"/>
  <c r="AX73" i="2"/>
  <c r="AV73" i="2"/>
  <c r="AT73" i="2"/>
  <c r="AR73" i="2"/>
  <c r="AP73" i="2"/>
  <c r="AN73" i="2"/>
  <c r="AL73" i="2"/>
  <c r="AJ73" i="2"/>
  <c r="AH73" i="2"/>
  <c r="AF73" i="2"/>
  <c r="AD73" i="2"/>
  <c r="AB73" i="2"/>
  <c r="Z73" i="2"/>
  <c r="X73" i="2"/>
  <c r="V73" i="2"/>
  <c r="T73" i="2"/>
  <c r="R73" i="2"/>
  <c r="P73" i="2"/>
  <c r="N73" i="2"/>
  <c r="L73" i="2"/>
  <c r="J73" i="2"/>
  <c r="H73" i="2"/>
  <c r="DC72" i="2"/>
  <c r="DB72" i="2"/>
  <c r="DA72" i="2"/>
  <c r="CZ72" i="2"/>
  <c r="CY72" i="2"/>
  <c r="CX72" i="2"/>
  <c r="CW72" i="2"/>
  <c r="CV72" i="2"/>
  <c r="CU72" i="2"/>
  <c r="CT72" i="2"/>
  <c r="CQ72" i="2"/>
  <c r="CP72" i="2"/>
  <c r="CO72" i="2"/>
  <c r="CN72" i="2"/>
  <c r="CM72" i="2"/>
  <c r="CL72" i="2"/>
  <c r="CK72" i="2"/>
  <c r="CJ72" i="2"/>
  <c r="CI72" i="2"/>
  <c r="CH72" i="2"/>
  <c r="BW72" i="2"/>
  <c r="BX72" i="2" s="1"/>
  <c r="BV72" i="2"/>
  <c r="BL72" i="2"/>
  <c r="BK72" i="2"/>
  <c r="BJ72" i="2"/>
  <c r="BH72" i="2"/>
  <c r="BF72" i="2"/>
  <c r="BD72" i="2"/>
  <c r="BB72" i="2"/>
  <c r="AZ72" i="2"/>
  <c r="AX72" i="2"/>
  <c r="AV72" i="2"/>
  <c r="AT72" i="2"/>
  <c r="AR72" i="2"/>
  <c r="AP72" i="2"/>
  <c r="AN72" i="2"/>
  <c r="AL72" i="2"/>
  <c r="AJ72" i="2"/>
  <c r="AH72" i="2"/>
  <c r="AF72" i="2"/>
  <c r="AD72" i="2"/>
  <c r="AB72" i="2"/>
  <c r="Z72" i="2"/>
  <c r="X72" i="2"/>
  <c r="V72" i="2"/>
  <c r="T72" i="2"/>
  <c r="R72" i="2"/>
  <c r="P72" i="2"/>
  <c r="N72" i="2"/>
  <c r="K72" i="2"/>
  <c r="L72" i="2" s="1"/>
  <c r="J72" i="2"/>
  <c r="H72" i="2"/>
  <c r="DC71" i="2"/>
  <c r="DB71" i="2"/>
  <c r="DA71" i="2"/>
  <c r="CZ71" i="2"/>
  <c r="CY71" i="2"/>
  <c r="CX71" i="2"/>
  <c r="CW71" i="2"/>
  <c r="CV71" i="2"/>
  <c r="CU71" i="2"/>
  <c r="CT71" i="2"/>
  <c r="CQ71" i="2"/>
  <c r="CP71" i="2"/>
  <c r="CO71" i="2"/>
  <c r="CN71" i="2"/>
  <c r="CM71" i="2"/>
  <c r="CL71" i="2"/>
  <c r="CK71" i="2"/>
  <c r="CJ71" i="2"/>
  <c r="CI71" i="2"/>
  <c r="CH71" i="2"/>
  <c r="BW71" i="2"/>
  <c r="BV71" i="2"/>
  <c r="BX71" i="2" s="1"/>
  <c r="BL71" i="2"/>
  <c r="BK71" i="2"/>
  <c r="BJ71" i="2"/>
  <c r="BH71" i="2"/>
  <c r="BF71" i="2"/>
  <c r="BD71" i="2"/>
  <c r="BB71" i="2"/>
  <c r="AZ71" i="2"/>
  <c r="AX71" i="2"/>
  <c r="AV71" i="2"/>
  <c r="AT71" i="2"/>
  <c r="AR71" i="2"/>
  <c r="AP71" i="2"/>
  <c r="AN71" i="2"/>
  <c r="AL71" i="2"/>
  <c r="AJ71" i="2"/>
  <c r="AH71" i="2"/>
  <c r="AF71" i="2"/>
  <c r="AD71" i="2"/>
  <c r="AB71" i="2"/>
  <c r="Z71" i="2"/>
  <c r="X71" i="2"/>
  <c r="V71" i="2"/>
  <c r="T71" i="2"/>
  <c r="R71" i="2"/>
  <c r="P71" i="2"/>
  <c r="N71" i="2"/>
  <c r="K71" i="2"/>
  <c r="L71" i="2" s="1"/>
  <c r="J71" i="2"/>
  <c r="H71" i="2"/>
  <c r="DC70" i="2"/>
  <c r="DB70" i="2"/>
  <c r="DA70" i="2"/>
  <c r="CZ70" i="2"/>
  <c r="CY70" i="2"/>
  <c r="CX70" i="2"/>
  <c r="CW70" i="2"/>
  <c r="CV70" i="2"/>
  <c r="CU70" i="2"/>
  <c r="CT70" i="2"/>
  <c r="CQ70" i="2"/>
  <c r="CP70" i="2"/>
  <c r="CO70" i="2"/>
  <c r="CN70" i="2"/>
  <c r="CM70" i="2"/>
  <c r="CL70" i="2"/>
  <c r="CK70" i="2"/>
  <c r="CJ70" i="2"/>
  <c r="CI70" i="2"/>
  <c r="CH70" i="2"/>
  <c r="BW70" i="2"/>
  <c r="BX70" i="2" s="1"/>
  <c r="BV70" i="2"/>
  <c r="BK70" i="2"/>
  <c r="BJ70" i="2"/>
  <c r="BH70" i="2"/>
  <c r="BF70" i="2"/>
  <c r="BD70" i="2"/>
  <c r="BB70" i="2"/>
  <c r="AZ70" i="2"/>
  <c r="AX70" i="2"/>
  <c r="AV70" i="2"/>
  <c r="AT70" i="2"/>
  <c r="AR70" i="2"/>
  <c r="AP70" i="2"/>
  <c r="AN70" i="2"/>
  <c r="AL70" i="2"/>
  <c r="AJ70" i="2"/>
  <c r="AH70" i="2"/>
  <c r="AF70" i="2"/>
  <c r="AD70" i="2"/>
  <c r="AB70" i="2"/>
  <c r="Z70" i="2"/>
  <c r="X70" i="2"/>
  <c r="V70" i="2"/>
  <c r="T70" i="2"/>
  <c r="R70" i="2"/>
  <c r="P70" i="2"/>
  <c r="N70" i="2"/>
  <c r="K70" i="2"/>
  <c r="L70" i="2" s="1"/>
  <c r="J70" i="2"/>
  <c r="BL70" i="2" s="1"/>
  <c r="H70" i="2"/>
  <c r="DC69" i="2"/>
  <c r="DB69" i="2"/>
  <c r="DA69" i="2"/>
  <c r="CZ69" i="2"/>
  <c r="CY69" i="2"/>
  <c r="CX69" i="2"/>
  <c r="CW69" i="2"/>
  <c r="CV69" i="2"/>
  <c r="CU69" i="2"/>
  <c r="CQ69" i="2"/>
  <c r="CP69" i="2"/>
  <c r="CO69" i="2"/>
  <c r="CN69" i="2"/>
  <c r="CM69" i="2"/>
  <c r="CL69" i="2"/>
  <c r="CK69" i="2"/>
  <c r="CJ69" i="2"/>
  <c r="CI69" i="2"/>
  <c r="BW69" i="2"/>
  <c r="BX69" i="2" s="1"/>
  <c r="BV69" i="2"/>
  <c r="BL69" i="2"/>
  <c r="BK69" i="2"/>
  <c r="BJ69" i="2"/>
  <c r="BH69" i="2"/>
  <c r="BF69" i="2"/>
  <c r="BD69" i="2"/>
  <c r="BB69" i="2"/>
  <c r="AZ69" i="2"/>
  <c r="AX69" i="2"/>
  <c r="AV69" i="2"/>
  <c r="AT69" i="2"/>
  <c r="AR69" i="2"/>
  <c r="AP69" i="2"/>
  <c r="AN69" i="2"/>
  <c r="AL69" i="2"/>
  <c r="AJ69" i="2"/>
  <c r="AH69" i="2"/>
  <c r="AF69" i="2"/>
  <c r="AD69" i="2"/>
  <c r="AB69" i="2"/>
  <c r="Z69" i="2"/>
  <c r="X69" i="2"/>
  <c r="V69" i="2"/>
  <c r="T69" i="2"/>
  <c r="R69" i="2"/>
  <c r="P69" i="2"/>
  <c r="N69" i="2"/>
  <c r="L69" i="2"/>
  <c r="J69" i="2"/>
  <c r="H69" i="2"/>
  <c r="DC68" i="2"/>
  <c r="DB68" i="2"/>
  <c r="DA68" i="2"/>
  <c r="CZ68" i="2"/>
  <c r="CY68" i="2"/>
  <c r="CX68" i="2"/>
  <c r="CW68" i="2"/>
  <c r="CV68" i="2"/>
  <c r="CU68" i="2"/>
  <c r="CT68" i="2"/>
  <c r="CQ68" i="2"/>
  <c r="CP68" i="2"/>
  <c r="CO68" i="2"/>
  <c r="CN68" i="2"/>
  <c r="CM68" i="2"/>
  <c r="CL68" i="2"/>
  <c r="CK68" i="2"/>
  <c r="CJ68" i="2"/>
  <c r="CI68" i="2"/>
  <c r="CH68" i="2"/>
  <c r="BW68" i="2"/>
  <c r="BX68" i="2" s="1"/>
  <c r="BV68" i="2"/>
  <c r="BL68" i="2"/>
  <c r="BK68" i="2"/>
  <c r="BJ68" i="2"/>
  <c r="BH68" i="2"/>
  <c r="BF68" i="2"/>
  <c r="BD68" i="2"/>
  <c r="BB68" i="2"/>
  <c r="AZ68" i="2"/>
  <c r="AX68" i="2"/>
  <c r="AV68" i="2"/>
  <c r="AT68" i="2"/>
  <c r="AR68" i="2"/>
  <c r="AP68" i="2"/>
  <c r="AN68" i="2"/>
  <c r="AL68" i="2"/>
  <c r="AJ68" i="2"/>
  <c r="AH68" i="2"/>
  <c r="AF68" i="2"/>
  <c r="AD68" i="2"/>
  <c r="AB68" i="2"/>
  <c r="Z68" i="2"/>
  <c r="X68" i="2"/>
  <c r="V68" i="2"/>
  <c r="T68" i="2"/>
  <c r="R68" i="2"/>
  <c r="P68" i="2"/>
  <c r="N68" i="2"/>
  <c r="L68" i="2"/>
  <c r="J68" i="2"/>
  <c r="H68" i="2"/>
  <c r="DC67" i="2"/>
  <c r="DB67" i="2"/>
  <c r="DA67" i="2"/>
  <c r="CZ67" i="2"/>
  <c r="CQ67" i="2"/>
  <c r="CP67" i="2"/>
  <c r="CO67" i="2"/>
  <c r="CN67" i="2"/>
  <c r="BW67" i="2"/>
  <c r="BV67" i="2"/>
  <c r="BK67" i="2"/>
  <c r="BJ67" i="2"/>
  <c r="BH67" i="2"/>
  <c r="BF67" i="2"/>
  <c r="BB67" i="2"/>
  <c r="AZ67" i="2"/>
  <c r="AX67" i="2"/>
  <c r="AV67" i="2"/>
  <c r="AT67" i="2"/>
  <c r="AR67" i="2"/>
  <c r="AP67" i="2"/>
  <c r="AN67" i="2"/>
  <c r="AL67" i="2"/>
  <c r="AJ67" i="2"/>
  <c r="AH67" i="2"/>
  <c r="AF67" i="2"/>
  <c r="AD67" i="2"/>
  <c r="AB67" i="2"/>
  <c r="Z67" i="2"/>
  <c r="X67" i="2"/>
  <c r="V67" i="2"/>
  <c r="T67" i="2"/>
  <c r="R67" i="2"/>
  <c r="P67" i="2"/>
  <c r="N67" i="2"/>
  <c r="L67" i="2"/>
  <c r="J67" i="2"/>
  <c r="H67" i="2"/>
  <c r="DC66" i="2"/>
  <c r="DB66" i="2"/>
  <c r="DA66" i="2"/>
  <c r="CZ66" i="2"/>
  <c r="CY66" i="2"/>
  <c r="CX66" i="2"/>
  <c r="CW66" i="2"/>
  <c r="CV66" i="2"/>
  <c r="CU66" i="2"/>
  <c r="CT66" i="2"/>
  <c r="CQ66" i="2"/>
  <c r="CP66" i="2"/>
  <c r="CO66" i="2"/>
  <c r="CN66" i="2"/>
  <c r="CM66" i="2"/>
  <c r="CL66" i="2"/>
  <c r="CK66" i="2"/>
  <c r="CJ66" i="2"/>
  <c r="CI66" i="2"/>
  <c r="CH66" i="2"/>
  <c r="BW66" i="2"/>
  <c r="BV66" i="2"/>
  <c r="CI114" i="2" s="1"/>
  <c r="BK66" i="2"/>
  <c r="BJ66" i="2"/>
  <c r="BH66" i="2"/>
  <c r="BF66" i="2"/>
  <c r="BD66" i="2"/>
  <c r="BB66" i="2"/>
  <c r="AZ66" i="2"/>
  <c r="AX66" i="2"/>
  <c r="AV66" i="2"/>
  <c r="AT66" i="2"/>
  <c r="AR66" i="2"/>
  <c r="AP66" i="2"/>
  <c r="AN66" i="2"/>
  <c r="AL66" i="2"/>
  <c r="AJ66" i="2"/>
  <c r="AH66" i="2"/>
  <c r="AF66" i="2"/>
  <c r="AD66" i="2"/>
  <c r="AB66" i="2"/>
  <c r="Z66" i="2"/>
  <c r="X66" i="2"/>
  <c r="V66" i="2"/>
  <c r="T66" i="2"/>
  <c r="R66" i="2"/>
  <c r="P66" i="2"/>
  <c r="N66" i="2"/>
  <c r="L66" i="2"/>
  <c r="J66" i="2"/>
  <c r="H66" i="2"/>
  <c r="DC65" i="2"/>
  <c r="DB65" i="2"/>
  <c r="DA65" i="2"/>
  <c r="CZ65" i="2"/>
  <c r="CY65" i="2"/>
  <c r="CX65" i="2"/>
  <c r="CW65" i="2"/>
  <c r="CV65" i="2"/>
  <c r="CU65" i="2"/>
  <c r="CQ65" i="2"/>
  <c r="CP65" i="2"/>
  <c r="CO65" i="2"/>
  <c r="CN65" i="2"/>
  <c r="CM65" i="2"/>
  <c r="CL65" i="2"/>
  <c r="CK65" i="2"/>
  <c r="CJ65" i="2"/>
  <c r="CI65" i="2"/>
  <c r="BW65" i="2"/>
  <c r="CT114" i="2" s="1"/>
  <c r="BV65" i="2"/>
  <c r="CH114" i="2" s="1"/>
  <c r="BK65" i="2"/>
  <c r="BJ65" i="2"/>
  <c r="BH65" i="2"/>
  <c r="BF65" i="2"/>
  <c r="BB65" i="2"/>
  <c r="AZ65" i="2"/>
  <c r="AX65" i="2"/>
  <c r="AV65" i="2"/>
  <c r="AT65" i="2"/>
  <c r="AR65" i="2"/>
  <c r="AP65" i="2"/>
  <c r="AN65" i="2"/>
  <c r="AL65" i="2"/>
  <c r="AJ65" i="2"/>
  <c r="AH65" i="2"/>
  <c r="AF65" i="2"/>
  <c r="AD65" i="2"/>
  <c r="AB65" i="2"/>
  <c r="Z65" i="2"/>
  <c r="X65" i="2"/>
  <c r="V65" i="2"/>
  <c r="T65" i="2"/>
  <c r="R65" i="2"/>
  <c r="P65" i="2"/>
  <c r="N65" i="2"/>
  <c r="L65" i="2"/>
  <c r="J65" i="2"/>
  <c r="H65" i="2"/>
  <c r="DC64" i="2"/>
  <c r="DB64" i="2"/>
  <c r="DA64" i="2"/>
  <c r="CZ64" i="2"/>
  <c r="CY64" i="2"/>
  <c r="CX64" i="2"/>
  <c r="CW64" i="2"/>
  <c r="CV64" i="2"/>
  <c r="CU64" i="2"/>
  <c r="CT64" i="2"/>
  <c r="CQ64" i="2"/>
  <c r="CP64" i="2"/>
  <c r="CO64" i="2"/>
  <c r="CN64" i="2"/>
  <c r="CM64" i="2"/>
  <c r="CL64" i="2"/>
  <c r="CK64" i="2"/>
  <c r="CJ64" i="2"/>
  <c r="CI64" i="2"/>
  <c r="CH64" i="2"/>
  <c r="BW64" i="2"/>
  <c r="CT108" i="2" s="1"/>
  <c r="BV64" i="2"/>
  <c r="CH108" i="2" s="1"/>
  <c r="BK64" i="2"/>
  <c r="BJ64" i="2"/>
  <c r="BH64" i="2"/>
  <c r="BF64" i="2"/>
  <c r="BD64" i="2"/>
  <c r="BB64" i="2"/>
  <c r="AZ64" i="2"/>
  <c r="AX64" i="2"/>
  <c r="AV64" i="2"/>
  <c r="AT64" i="2"/>
  <c r="AR64" i="2"/>
  <c r="AP64" i="2"/>
  <c r="AN64" i="2"/>
  <c r="AL64" i="2"/>
  <c r="AJ64" i="2"/>
  <c r="AH64" i="2"/>
  <c r="AF64" i="2"/>
  <c r="AD64" i="2"/>
  <c r="AB64" i="2"/>
  <c r="Z64" i="2"/>
  <c r="X64" i="2"/>
  <c r="V64" i="2"/>
  <c r="T64" i="2"/>
  <c r="R64" i="2"/>
  <c r="P64" i="2"/>
  <c r="N64" i="2"/>
  <c r="L64" i="2"/>
  <c r="J64" i="2"/>
  <c r="H64" i="2"/>
  <c r="DC63" i="2"/>
  <c r="DB63" i="2"/>
  <c r="DA63" i="2"/>
  <c r="CZ63" i="2"/>
  <c r="CY63" i="2"/>
  <c r="CX63" i="2"/>
  <c r="CW63" i="2"/>
  <c r="CV63" i="2"/>
  <c r="CU63" i="2"/>
  <c r="CT63" i="2"/>
  <c r="CQ63" i="2"/>
  <c r="CP63" i="2"/>
  <c r="CO63" i="2"/>
  <c r="CN63" i="2"/>
  <c r="CM63" i="2"/>
  <c r="CL63" i="2"/>
  <c r="CK63" i="2"/>
  <c r="CJ63" i="2"/>
  <c r="CI63" i="2"/>
  <c r="CH63" i="2"/>
  <c r="BW63" i="2"/>
  <c r="CT106" i="2" s="1"/>
  <c r="BV63" i="2"/>
  <c r="CH106" i="2" s="1"/>
  <c r="BK63" i="2"/>
  <c r="BJ63" i="2"/>
  <c r="BH63" i="2"/>
  <c r="BF63" i="2"/>
  <c r="BD63" i="2"/>
  <c r="BB63" i="2"/>
  <c r="AZ63" i="2"/>
  <c r="AX63" i="2"/>
  <c r="AV63" i="2"/>
  <c r="AT63" i="2"/>
  <c r="AR63" i="2"/>
  <c r="AP63" i="2"/>
  <c r="AN63" i="2"/>
  <c r="AL63" i="2"/>
  <c r="AJ63" i="2"/>
  <c r="AH63" i="2"/>
  <c r="AF63" i="2"/>
  <c r="AD63" i="2"/>
  <c r="AB63" i="2"/>
  <c r="Z63" i="2"/>
  <c r="X63" i="2"/>
  <c r="V63" i="2"/>
  <c r="T63" i="2"/>
  <c r="R63" i="2"/>
  <c r="P63" i="2"/>
  <c r="N63" i="2"/>
  <c r="L63" i="2"/>
  <c r="J63" i="2"/>
  <c r="H63" i="2"/>
  <c r="DC62" i="2"/>
  <c r="DB62" i="2"/>
  <c r="DA62" i="2"/>
  <c r="CZ62" i="2"/>
  <c r="CY62" i="2"/>
  <c r="CX62" i="2"/>
  <c r="CW62" i="2"/>
  <c r="CV62" i="2"/>
  <c r="CU62" i="2"/>
  <c r="CT62" i="2"/>
  <c r="CQ62" i="2"/>
  <c r="CP62" i="2"/>
  <c r="CO62" i="2"/>
  <c r="CN62" i="2"/>
  <c r="CM62" i="2"/>
  <c r="CL62" i="2"/>
  <c r="CK62" i="2"/>
  <c r="CJ62" i="2"/>
  <c r="CI62" i="2"/>
  <c r="CH62" i="2"/>
  <c r="BX62" i="2"/>
  <c r="BW62" i="2"/>
  <c r="CT103" i="2" s="1"/>
  <c r="BV62" i="2"/>
  <c r="CH103" i="2" s="1"/>
  <c r="BK62" i="2"/>
  <c r="BJ62" i="2"/>
  <c r="BH62" i="2"/>
  <c r="BF62" i="2"/>
  <c r="BD62" i="2"/>
  <c r="BB62" i="2"/>
  <c r="AZ62" i="2"/>
  <c r="AX62" i="2"/>
  <c r="AV62" i="2"/>
  <c r="AT62" i="2"/>
  <c r="AR62" i="2"/>
  <c r="AP62" i="2"/>
  <c r="AN62" i="2"/>
  <c r="AL62" i="2"/>
  <c r="AJ62" i="2"/>
  <c r="AH62" i="2"/>
  <c r="AF62" i="2"/>
  <c r="AD62" i="2"/>
  <c r="AB62" i="2"/>
  <c r="Z62" i="2"/>
  <c r="X62" i="2"/>
  <c r="V62" i="2"/>
  <c r="T62" i="2"/>
  <c r="R62" i="2"/>
  <c r="P62" i="2"/>
  <c r="N62" i="2"/>
  <c r="L62" i="2"/>
  <c r="J62" i="2"/>
  <c r="H62" i="2"/>
  <c r="DC61" i="2"/>
  <c r="DB61" i="2"/>
  <c r="DA61" i="2"/>
  <c r="CZ61" i="2"/>
  <c r="CY61" i="2"/>
  <c r="CX61" i="2"/>
  <c r="CW61" i="2"/>
  <c r="CV61" i="2"/>
  <c r="CU61" i="2"/>
  <c r="CT61" i="2"/>
  <c r="CQ61" i="2"/>
  <c r="CP61" i="2"/>
  <c r="CO61" i="2"/>
  <c r="CN61" i="2"/>
  <c r="CM61" i="2"/>
  <c r="CL61" i="2"/>
  <c r="CK61" i="2"/>
  <c r="CJ61" i="2"/>
  <c r="CI61" i="2"/>
  <c r="CH61" i="2"/>
  <c r="AO61" i="2"/>
  <c r="AQ61" i="2" s="1"/>
  <c r="AS61" i="2" s="1"/>
  <c r="AU61" i="2" s="1"/>
  <c r="AN61" i="2"/>
  <c r="DC60" i="2"/>
  <c r="DB60" i="2"/>
  <c r="DA60" i="2"/>
  <c r="CZ60" i="2"/>
  <c r="CY60" i="2"/>
  <c r="CX60" i="2"/>
  <c r="CW60" i="2"/>
  <c r="CV60" i="2"/>
  <c r="CU60" i="2"/>
  <c r="CT60" i="2"/>
  <c r="CQ60" i="2"/>
  <c r="CP60" i="2"/>
  <c r="CO60" i="2"/>
  <c r="CN60" i="2"/>
  <c r="CM60" i="2"/>
  <c r="CL60" i="2"/>
  <c r="CK60" i="2"/>
  <c r="CJ60" i="2"/>
  <c r="CI60" i="2"/>
  <c r="CH60" i="2"/>
  <c r="BW60" i="2"/>
  <c r="BX60" i="2" s="1"/>
  <c r="BV60" i="2"/>
  <c r="CH99" i="2" s="1"/>
  <c r="BK60" i="2"/>
  <c r="BJ60" i="2"/>
  <c r="BH60" i="2"/>
  <c r="BF60" i="2"/>
  <c r="BD60" i="2"/>
  <c r="BB60" i="2"/>
  <c r="AZ60" i="2"/>
  <c r="AX60" i="2"/>
  <c r="AV60" i="2"/>
  <c r="AT60" i="2"/>
  <c r="AR60" i="2"/>
  <c r="AP60" i="2"/>
  <c r="AN60" i="2"/>
  <c r="AL60" i="2"/>
  <c r="AJ60" i="2"/>
  <c r="AH60" i="2"/>
  <c r="AF60" i="2"/>
  <c r="AD60" i="2"/>
  <c r="AB60" i="2"/>
  <c r="Z60" i="2"/>
  <c r="X60" i="2"/>
  <c r="V60" i="2"/>
  <c r="T60" i="2"/>
  <c r="R60" i="2"/>
  <c r="P60" i="2"/>
  <c r="N60" i="2"/>
  <c r="L60" i="2"/>
  <c r="J60" i="2"/>
  <c r="H60" i="2"/>
  <c r="DC59" i="2"/>
  <c r="DB59" i="2"/>
  <c r="DA59" i="2"/>
  <c r="CZ59" i="2"/>
  <c r="CY59" i="2"/>
  <c r="CX59" i="2"/>
  <c r="CW59" i="2"/>
  <c r="CV59" i="2"/>
  <c r="CU59" i="2"/>
  <c r="CT59" i="2"/>
  <c r="CQ59" i="2"/>
  <c r="CP59" i="2"/>
  <c r="CO59" i="2"/>
  <c r="CN59" i="2"/>
  <c r="CM59" i="2"/>
  <c r="CL59" i="2"/>
  <c r="CK59" i="2"/>
  <c r="CJ59" i="2"/>
  <c r="CI59" i="2"/>
  <c r="CH59" i="2"/>
  <c r="BW59" i="2"/>
  <c r="BX59" i="2" s="1"/>
  <c r="BV59" i="2"/>
  <c r="CJ98" i="2" s="1"/>
  <c r="BK59" i="2"/>
  <c r="BJ59" i="2"/>
  <c r="BH59" i="2"/>
  <c r="BF59" i="2"/>
  <c r="BD59" i="2"/>
  <c r="BB59" i="2"/>
  <c r="AZ59" i="2"/>
  <c r="AX59" i="2"/>
  <c r="AV59" i="2"/>
  <c r="AT59" i="2"/>
  <c r="AR59" i="2"/>
  <c r="AP59" i="2"/>
  <c r="AN59" i="2"/>
  <c r="AL59" i="2"/>
  <c r="AJ59" i="2"/>
  <c r="AH59" i="2"/>
  <c r="AF59" i="2"/>
  <c r="AD59" i="2"/>
  <c r="AB59" i="2"/>
  <c r="Z59" i="2"/>
  <c r="X59" i="2"/>
  <c r="V59" i="2"/>
  <c r="T59" i="2"/>
  <c r="R59" i="2"/>
  <c r="P59" i="2"/>
  <c r="N59" i="2"/>
  <c r="L59" i="2"/>
  <c r="J59" i="2"/>
  <c r="H59" i="2"/>
  <c r="DC58" i="2"/>
  <c r="DB58" i="2"/>
  <c r="DA58" i="2"/>
  <c r="CZ58" i="2"/>
  <c r="CY58" i="2"/>
  <c r="CX58" i="2"/>
  <c r="CW58" i="2"/>
  <c r="CV58" i="2"/>
  <c r="CU58" i="2"/>
  <c r="CT58" i="2"/>
  <c r="CQ58" i="2"/>
  <c r="CP58" i="2"/>
  <c r="CO58" i="2"/>
  <c r="CN58" i="2"/>
  <c r="CM58" i="2"/>
  <c r="CL58" i="2"/>
  <c r="CK58" i="2"/>
  <c r="CJ58" i="2"/>
  <c r="CI58" i="2"/>
  <c r="CH58" i="2"/>
  <c r="BW58" i="2"/>
  <c r="CU98" i="2" s="1"/>
  <c r="BV58" i="2"/>
  <c r="CI98" i="2" s="1"/>
  <c r="BK58" i="2"/>
  <c r="BJ58" i="2"/>
  <c r="BH58" i="2"/>
  <c r="BF58" i="2"/>
  <c r="BD58" i="2"/>
  <c r="BB58" i="2"/>
  <c r="AZ58" i="2"/>
  <c r="AX58" i="2"/>
  <c r="AV58" i="2"/>
  <c r="AT58" i="2"/>
  <c r="AR58" i="2"/>
  <c r="AP58" i="2"/>
  <c r="AN58" i="2"/>
  <c r="AL58" i="2"/>
  <c r="AJ58" i="2"/>
  <c r="AH58" i="2"/>
  <c r="AF58" i="2"/>
  <c r="AD58" i="2"/>
  <c r="AB58" i="2"/>
  <c r="Z58" i="2"/>
  <c r="X58" i="2"/>
  <c r="V58" i="2"/>
  <c r="T58" i="2"/>
  <c r="R58" i="2"/>
  <c r="P58" i="2"/>
  <c r="N58" i="2"/>
  <c r="L58" i="2"/>
  <c r="J58" i="2"/>
  <c r="H58" i="2"/>
  <c r="DC57" i="2"/>
  <c r="DB57" i="2"/>
  <c r="DA57" i="2"/>
  <c r="CZ57" i="2"/>
  <c r="CY57" i="2"/>
  <c r="CX57" i="2"/>
  <c r="CW57" i="2"/>
  <c r="CV57" i="2"/>
  <c r="CU57" i="2"/>
  <c r="CQ57" i="2"/>
  <c r="CP57" i="2"/>
  <c r="CO57" i="2"/>
  <c r="CN57" i="2"/>
  <c r="CM57" i="2"/>
  <c r="CL57" i="2"/>
  <c r="CK57" i="2"/>
  <c r="CJ57" i="2"/>
  <c r="CI57" i="2"/>
  <c r="BW57" i="2"/>
  <c r="BX57" i="2" s="1"/>
  <c r="BV57" i="2"/>
  <c r="CH98" i="2" s="1"/>
  <c r="BK57" i="2"/>
  <c r="BJ57" i="2"/>
  <c r="BH57" i="2"/>
  <c r="BF57" i="2"/>
  <c r="BD57" i="2"/>
  <c r="BB57" i="2"/>
  <c r="AZ57" i="2"/>
  <c r="AX57" i="2"/>
  <c r="AV57" i="2"/>
  <c r="AT57" i="2"/>
  <c r="AR57" i="2"/>
  <c r="AP57" i="2"/>
  <c r="AN57" i="2"/>
  <c r="AL57" i="2"/>
  <c r="AJ57" i="2"/>
  <c r="AH57" i="2"/>
  <c r="AF57" i="2"/>
  <c r="AD57" i="2"/>
  <c r="AB57" i="2"/>
  <c r="Z57" i="2"/>
  <c r="X57" i="2"/>
  <c r="V57" i="2"/>
  <c r="T57" i="2"/>
  <c r="R57" i="2"/>
  <c r="P57" i="2"/>
  <c r="N57" i="2"/>
  <c r="L57" i="2"/>
  <c r="J57" i="2"/>
  <c r="H57" i="2"/>
  <c r="DC56" i="2"/>
  <c r="DB56" i="2"/>
  <c r="DA56" i="2"/>
  <c r="CZ56" i="2"/>
  <c r="CY56" i="2"/>
  <c r="CX56" i="2"/>
  <c r="CW56" i="2"/>
  <c r="CV56" i="2"/>
  <c r="CU56" i="2"/>
  <c r="CQ56" i="2"/>
  <c r="CP56" i="2"/>
  <c r="CO56" i="2"/>
  <c r="CN56" i="2"/>
  <c r="CM56" i="2"/>
  <c r="CL56" i="2"/>
  <c r="CK56" i="2"/>
  <c r="CJ56" i="2"/>
  <c r="CI56" i="2"/>
  <c r="BW56" i="2"/>
  <c r="CT97" i="2" s="1"/>
  <c r="BV56" i="2"/>
  <c r="CH97" i="2" s="1"/>
  <c r="BK56" i="2"/>
  <c r="BJ56" i="2"/>
  <c r="BH56" i="2"/>
  <c r="BF56" i="2"/>
  <c r="BD56" i="2"/>
  <c r="BB56" i="2"/>
  <c r="AZ56" i="2"/>
  <c r="AX56" i="2"/>
  <c r="AV56" i="2"/>
  <c r="AT56" i="2"/>
  <c r="AR56" i="2"/>
  <c r="AP56" i="2"/>
  <c r="AN56" i="2"/>
  <c r="AL56" i="2"/>
  <c r="AJ56" i="2"/>
  <c r="AH56" i="2"/>
  <c r="AF56" i="2"/>
  <c r="AD56" i="2"/>
  <c r="AB56" i="2"/>
  <c r="Z56" i="2"/>
  <c r="X56" i="2"/>
  <c r="V56" i="2"/>
  <c r="T56" i="2"/>
  <c r="R56" i="2"/>
  <c r="P56" i="2"/>
  <c r="N56" i="2"/>
  <c r="L56" i="2"/>
  <c r="J56" i="2"/>
  <c r="H56" i="2"/>
  <c r="DC55" i="2"/>
  <c r="DB55" i="2"/>
  <c r="DA55" i="2"/>
  <c r="CZ55" i="2"/>
  <c r="CY55" i="2"/>
  <c r="CX55" i="2"/>
  <c r="CW55" i="2"/>
  <c r="CV55" i="2"/>
  <c r="CU55" i="2"/>
  <c r="CT55" i="2"/>
  <c r="CQ55" i="2"/>
  <c r="CP55" i="2"/>
  <c r="CO55" i="2"/>
  <c r="CN55" i="2"/>
  <c r="CM55" i="2"/>
  <c r="CL55" i="2"/>
  <c r="CK55" i="2"/>
  <c r="CJ55" i="2"/>
  <c r="CI55" i="2"/>
  <c r="CH55" i="2"/>
  <c r="BW55" i="2"/>
  <c r="BX55" i="2" s="1"/>
  <c r="BV55" i="2"/>
  <c r="CM96" i="2" s="1"/>
  <c r="BK55" i="2"/>
  <c r="BJ55" i="2"/>
  <c r="BH55" i="2"/>
  <c r="BF55" i="2"/>
  <c r="BD55" i="2"/>
  <c r="BB55" i="2"/>
  <c r="AZ55" i="2"/>
  <c r="AX55" i="2"/>
  <c r="AV55" i="2"/>
  <c r="AT55" i="2"/>
  <c r="AR55" i="2"/>
  <c r="AP55" i="2"/>
  <c r="AN55" i="2"/>
  <c r="AL55" i="2"/>
  <c r="AJ55" i="2"/>
  <c r="AH55" i="2"/>
  <c r="AF55" i="2"/>
  <c r="AD55" i="2"/>
  <c r="AB55" i="2"/>
  <c r="Z55" i="2"/>
  <c r="X55" i="2"/>
  <c r="V55" i="2"/>
  <c r="T55" i="2"/>
  <c r="R55" i="2"/>
  <c r="P55" i="2"/>
  <c r="N55" i="2"/>
  <c r="L55" i="2"/>
  <c r="J55" i="2"/>
  <c r="BL55" i="2" s="1"/>
  <c r="H55" i="2"/>
  <c r="DC54" i="2"/>
  <c r="DB54" i="2"/>
  <c r="DA54" i="2"/>
  <c r="CZ54" i="2"/>
  <c r="CY54" i="2"/>
  <c r="CX54" i="2"/>
  <c r="CW54" i="2"/>
  <c r="CV54" i="2"/>
  <c r="CU54" i="2"/>
  <c r="CT54" i="2"/>
  <c r="CQ54" i="2"/>
  <c r="CP54" i="2"/>
  <c r="CO54" i="2"/>
  <c r="CN54" i="2"/>
  <c r="CM54" i="2"/>
  <c r="CL54" i="2"/>
  <c r="CK54" i="2"/>
  <c r="CJ54" i="2"/>
  <c r="CI54" i="2"/>
  <c r="CH54" i="2"/>
  <c r="BW54" i="2"/>
  <c r="CX96" i="2" s="1"/>
  <c r="BV54" i="2"/>
  <c r="CL96" i="2" s="1"/>
  <c r="BK54" i="2"/>
  <c r="BJ54" i="2"/>
  <c r="BH54" i="2"/>
  <c r="BF54" i="2"/>
  <c r="BD54" i="2"/>
  <c r="BB54" i="2"/>
  <c r="AZ54" i="2"/>
  <c r="AX54" i="2"/>
  <c r="AV54" i="2"/>
  <c r="AT54" i="2"/>
  <c r="AR54" i="2"/>
  <c r="AP54" i="2"/>
  <c r="AN54" i="2"/>
  <c r="AL54" i="2"/>
  <c r="AJ54" i="2"/>
  <c r="AH54" i="2"/>
  <c r="AF54" i="2"/>
  <c r="AD54" i="2"/>
  <c r="AB54" i="2"/>
  <c r="Z54" i="2"/>
  <c r="X54" i="2"/>
  <c r="V54" i="2"/>
  <c r="T54" i="2"/>
  <c r="R54" i="2"/>
  <c r="P54" i="2"/>
  <c r="N54" i="2"/>
  <c r="L54" i="2"/>
  <c r="J54" i="2"/>
  <c r="BL54" i="2" s="1"/>
  <c r="H54" i="2"/>
  <c r="DC53" i="2"/>
  <c r="DB53" i="2"/>
  <c r="DA53" i="2"/>
  <c r="CQ53" i="2"/>
  <c r="CP53" i="2"/>
  <c r="CO53" i="2"/>
  <c r="BX53" i="2"/>
  <c r="BW53" i="2"/>
  <c r="CW96" i="2" s="1"/>
  <c r="BV53" i="2"/>
  <c r="CK96" i="2" s="1"/>
  <c r="BK53" i="2"/>
  <c r="BJ53" i="2"/>
  <c r="BH53" i="2"/>
  <c r="BF53" i="2"/>
  <c r="BD53" i="2"/>
  <c r="BB53" i="2"/>
  <c r="AZ53" i="2"/>
  <c r="AX53" i="2"/>
  <c r="AV53" i="2"/>
  <c r="AT53" i="2"/>
  <c r="AR53" i="2"/>
  <c r="AP53" i="2"/>
  <c r="AN53" i="2"/>
  <c r="AL53" i="2"/>
  <c r="AJ53" i="2"/>
  <c r="AH53" i="2"/>
  <c r="AF53" i="2"/>
  <c r="AD53" i="2"/>
  <c r="AB53" i="2"/>
  <c r="Z53" i="2"/>
  <c r="X53" i="2"/>
  <c r="V53" i="2"/>
  <c r="T53" i="2"/>
  <c r="R53" i="2"/>
  <c r="P53" i="2"/>
  <c r="N53" i="2"/>
  <c r="L53" i="2"/>
  <c r="J53" i="2"/>
  <c r="BL53" i="2" s="1"/>
  <c r="H53" i="2"/>
  <c r="DC52" i="2"/>
  <c r="DB52" i="2"/>
  <c r="DA52" i="2"/>
  <c r="CZ52" i="2"/>
  <c r="CY52" i="2"/>
  <c r="CX52" i="2"/>
  <c r="CW52" i="2"/>
  <c r="CV52" i="2"/>
  <c r="CU52" i="2"/>
  <c r="CT52" i="2"/>
  <c r="CQ52" i="2"/>
  <c r="CP52" i="2"/>
  <c r="CO52" i="2"/>
  <c r="CN52" i="2"/>
  <c r="CM52" i="2"/>
  <c r="CL52" i="2"/>
  <c r="CK52" i="2"/>
  <c r="CJ52" i="2"/>
  <c r="CI52" i="2"/>
  <c r="CH52" i="2"/>
  <c r="BW52" i="2"/>
  <c r="CV96" i="2" s="1"/>
  <c r="BV52" i="2"/>
  <c r="CJ96" i="2" s="1"/>
  <c r="BK52" i="2"/>
  <c r="BJ52" i="2"/>
  <c r="BH52" i="2"/>
  <c r="BF52" i="2"/>
  <c r="BD52" i="2"/>
  <c r="BB52" i="2"/>
  <c r="AZ52" i="2"/>
  <c r="AX52" i="2"/>
  <c r="AV52" i="2"/>
  <c r="AT52" i="2"/>
  <c r="AR52" i="2"/>
  <c r="AP52" i="2"/>
  <c r="AN52" i="2"/>
  <c r="AL52" i="2"/>
  <c r="AJ52" i="2"/>
  <c r="AH52" i="2"/>
  <c r="AF52" i="2"/>
  <c r="AD52" i="2"/>
  <c r="AB52" i="2"/>
  <c r="Z52" i="2"/>
  <c r="X52" i="2"/>
  <c r="V52" i="2"/>
  <c r="T52" i="2"/>
  <c r="R52" i="2"/>
  <c r="P52" i="2"/>
  <c r="N52" i="2"/>
  <c r="L52" i="2"/>
  <c r="J52" i="2"/>
  <c r="BL52" i="2" s="1"/>
  <c r="H52" i="2"/>
  <c r="DC51" i="2"/>
  <c r="DB51" i="2"/>
  <c r="DA51" i="2"/>
  <c r="CZ51" i="2"/>
  <c r="CY51" i="2"/>
  <c r="CX51" i="2"/>
  <c r="CW51" i="2"/>
  <c r="CV51" i="2"/>
  <c r="CU51" i="2"/>
  <c r="CT51" i="2"/>
  <c r="CQ51" i="2"/>
  <c r="CP51" i="2"/>
  <c r="CO51" i="2"/>
  <c r="CN51" i="2"/>
  <c r="CM51" i="2"/>
  <c r="CL51" i="2"/>
  <c r="CK51" i="2"/>
  <c r="CJ51" i="2"/>
  <c r="CI51" i="2"/>
  <c r="CH51" i="2"/>
  <c r="BW51" i="2"/>
  <c r="CU96" i="2" s="1"/>
  <c r="BV51" i="2"/>
  <c r="BL51" i="2"/>
  <c r="BK51" i="2"/>
  <c r="BJ51" i="2"/>
  <c r="BH51" i="2"/>
  <c r="BF51" i="2"/>
  <c r="BD51" i="2"/>
  <c r="BA51" i="2"/>
  <c r="BB51" i="2" s="1"/>
  <c r="AZ51" i="2"/>
  <c r="AX51" i="2"/>
  <c r="AV51" i="2"/>
  <c r="AT51" i="2"/>
  <c r="AR51" i="2"/>
  <c r="AP51" i="2"/>
  <c r="AN51" i="2"/>
  <c r="AL51" i="2"/>
  <c r="AJ51" i="2"/>
  <c r="AH51" i="2"/>
  <c r="AF51" i="2"/>
  <c r="AD51" i="2"/>
  <c r="AB51" i="2"/>
  <c r="Z51" i="2"/>
  <c r="X51" i="2"/>
  <c r="V51" i="2"/>
  <c r="T51" i="2"/>
  <c r="R51" i="2"/>
  <c r="P51" i="2"/>
  <c r="N51" i="2"/>
  <c r="L51" i="2"/>
  <c r="J51" i="2"/>
  <c r="H51" i="2"/>
  <c r="DC50" i="2"/>
  <c r="DB50" i="2"/>
  <c r="DA50" i="2"/>
  <c r="CZ50" i="2"/>
  <c r="CY50" i="2"/>
  <c r="CX50" i="2"/>
  <c r="CW50" i="2"/>
  <c r="CV50" i="2"/>
  <c r="CU50" i="2"/>
  <c r="CT50" i="2"/>
  <c r="CQ50" i="2"/>
  <c r="CP50" i="2"/>
  <c r="CO50" i="2"/>
  <c r="CN50" i="2"/>
  <c r="CM50" i="2"/>
  <c r="CL50" i="2"/>
  <c r="CK50" i="2"/>
  <c r="CJ50" i="2"/>
  <c r="CI50" i="2"/>
  <c r="CH50" i="2"/>
  <c r="BW50" i="2"/>
  <c r="BV50" i="2"/>
  <c r="CH96" i="2" s="1"/>
  <c r="BK50" i="2"/>
  <c r="BJ50" i="2"/>
  <c r="BH50" i="2"/>
  <c r="BF50" i="2"/>
  <c r="BD50" i="2"/>
  <c r="BB50" i="2"/>
  <c r="AZ50" i="2"/>
  <c r="AX50" i="2"/>
  <c r="AV50" i="2"/>
  <c r="AT50" i="2"/>
  <c r="AR50" i="2"/>
  <c r="AP50" i="2"/>
  <c r="AN50" i="2"/>
  <c r="AL50" i="2"/>
  <c r="AJ50" i="2"/>
  <c r="AH50" i="2"/>
  <c r="AF50" i="2"/>
  <c r="AD50" i="2"/>
  <c r="AB50" i="2"/>
  <c r="Z50" i="2"/>
  <c r="X50" i="2"/>
  <c r="V50" i="2"/>
  <c r="T50" i="2"/>
  <c r="R50" i="2"/>
  <c r="P50" i="2"/>
  <c r="N50" i="2"/>
  <c r="K50" i="2"/>
  <c r="L50" i="2" s="1"/>
  <c r="J50" i="2"/>
  <c r="BL50" i="2" s="1"/>
  <c r="H50" i="2"/>
  <c r="DC49" i="2"/>
  <c r="DB49" i="2"/>
  <c r="CQ49" i="2"/>
  <c r="CP49" i="2"/>
  <c r="CN49" i="2"/>
  <c r="AO49" i="2"/>
  <c r="AQ49" i="2" s="1"/>
  <c r="AS49" i="2" s="1"/>
  <c r="AU49" i="2" s="1"/>
  <c r="AN49" i="2"/>
  <c r="L49" i="2"/>
  <c r="DC48" i="2"/>
  <c r="DB48" i="2"/>
  <c r="DA48" i="2"/>
  <c r="CZ48" i="2"/>
  <c r="CY48" i="2"/>
  <c r="CX48" i="2"/>
  <c r="CW48" i="2"/>
  <c r="CV48" i="2"/>
  <c r="CU48" i="2"/>
  <c r="CT48" i="2"/>
  <c r="CQ48" i="2"/>
  <c r="CP48" i="2"/>
  <c r="CO48" i="2"/>
  <c r="CN48" i="2"/>
  <c r="CM48" i="2"/>
  <c r="CL48" i="2"/>
  <c r="CK48" i="2"/>
  <c r="CJ48" i="2"/>
  <c r="CI48" i="2"/>
  <c r="CH48" i="2"/>
  <c r="AQ48" i="2"/>
  <c r="AS48" i="2" s="1"/>
  <c r="AU48" i="2" s="1"/>
  <c r="AO48" i="2"/>
  <c r="AP48" i="2" s="1"/>
  <c r="AN48" i="2"/>
  <c r="L48" i="2"/>
  <c r="DC47" i="2"/>
  <c r="DB47" i="2"/>
  <c r="DA47" i="2"/>
  <c r="CZ47" i="2"/>
  <c r="CY47" i="2"/>
  <c r="CX47" i="2"/>
  <c r="CW47" i="2"/>
  <c r="CV47" i="2"/>
  <c r="CU47" i="2"/>
  <c r="CT47" i="2"/>
  <c r="CQ47" i="2"/>
  <c r="CP47" i="2"/>
  <c r="CO47" i="2"/>
  <c r="CN47" i="2"/>
  <c r="CM47" i="2"/>
  <c r="CL47" i="2"/>
  <c r="CK47" i="2"/>
  <c r="CJ47" i="2"/>
  <c r="CI47" i="2"/>
  <c r="CH47" i="2"/>
  <c r="AQ47" i="2"/>
  <c r="AS47" i="2" s="1"/>
  <c r="AU47" i="2" s="1"/>
  <c r="AO47" i="2"/>
  <c r="AP47" i="2" s="1"/>
  <c r="AN47" i="2"/>
  <c r="L47" i="2"/>
  <c r="DC46" i="2"/>
  <c r="DB46" i="2"/>
  <c r="DA46" i="2"/>
  <c r="CZ46" i="2"/>
  <c r="CY46" i="2"/>
  <c r="CX46" i="2"/>
  <c r="CW46" i="2"/>
  <c r="CV46" i="2"/>
  <c r="CU46" i="2"/>
  <c r="CQ46" i="2"/>
  <c r="CP46" i="2"/>
  <c r="CO46" i="2"/>
  <c r="CN46" i="2"/>
  <c r="CM46" i="2"/>
  <c r="CL46" i="2"/>
  <c r="CK46" i="2"/>
  <c r="CJ46" i="2"/>
  <c r="CI46" i="2"/>
  <c r="BW46" i="2"/>
  <c r="CT76" i="2" s="1"/>
  <c r="BV46" i="2"/>
  <c r="CH76" i="2" s="1"/>
  <c r="BL46" i="2"/>
  <c r="BK46" i="2"/>
  <c r="BJ46" i="2"/>
  <c r="BH46" i="2"/>
  <c r="BF46" i="2"/>
  <c r="BD46" i="2"/>
  <c r="BB46" i="2"/>
  <c r="AZ46" i="2"/>
  <c r="AX46" i="2"/>
  <c r="AV46" i="2"/>
  <c r="AT46" i="2"/>
  <c r="AR46" i="2"/>
  <c r="AP46" i="2"/>
  <c r="AN46" i="2"/>
  <c r="AL46" i="2"/>
  <c r="AJ46" i="2"/>
  <c r="AH46" i="2"/>
  <c r="AF46" i="2"/>
  <c r="AD46" i="2"/>
  <c r="AB46" i="2"/>
  <c r="Z46" i="2"/>
  <c r="X46" i="2"/>
  <c r="V46" i="2"/>
  <c r="T46" i="2"/>
  <c r="R46" i="2"/>
  <c r="P46" i="2"/>
  <c r="N46" i="2"/>
  <c r="L46" i="2"/>
  <c r="J46" i="2"/>
  <c r="H46" i="2"/>
  <c r="DC45" i="2"/>
  <c r="DB45" i="2"/>
  <c r="DA45" i="2"/>
  <c r="CZ45" i="2"/>
  <c r="CY45" i="2"/>
  <c r="CX45" i="2"/>
  <c r="CW45" i="2"/>
  <c r="CV45" i="2"/>
  <c r="CU45" i="2"/>
  <c r="CT45" i="2"/>
  <c r="CQ45" i="2"/>
  <c r="CP45" i="2"/>
  <c r="CO45" i="2"/>
  <c r="CN45" i="2"/>
  <c r="CM45" i="2"/>
  <c r="CL45" i="2"/>
  <c r="CK45" i="2"/>
  <c r="CJ45" i="2"/>
  <c r="CI45" i="2"/>
  <c r="CH45" i="2"/>
  <c r="BW45" i="2"/>
  <c r="BV45" i="2"/>
  <c r="CH69" i="2" s="1"/>
  <c r="BK45" i="2"/>
  <c r="BJ45" i="2"/>
  <c r="BH45" i="2"/>
  <c r="BF45" i="2"/>
  <c r="BD45" i="2"/>
  <c r="BB45" i="2"/>
  <c r="AZ45" i="2"/>
  <c r="AX45" i="2"/>
  <c r="AV45" i="2"/>
  <c r="AT45" i="2"/>
  <c r="AR45" i="2"/>
  <c r="AP45" i="2"/>
  <c r="AN45" i="2"/>
  <c r="AL45" i="2"/>
  <c r="AJ45" i="2"/>
  <c r="AH45" i="2"/>
  <c r="AF45" i="2"/>
  <c r="AD45" i="2"/>
  <c r="AB45" i="2"/>
  <c r="Z45" i="2"/>
  <c r="X45" i="2"/>
  <c r="V45" i="2"/>
  <c r="T45" i="2"/>
  <c r="R45" i="2"/>
  <c r="P45" i="2"/>
  <c r="N45" i="2"/>
  <c r="L45" i="2"/>
  <c r="J45" i="2"/>
  <c r="BL45" i="2" s="1"/>
  <c r="H45" i="2"/>
  <c r="DC44" i="2"/>
  <c r="DB44" i="2"/>
  <c r="DA44" i="2"/>
  <c r="CZ44" i="2"/>
  <c r="CY44" i="2"/>
  <c r="CX44" i="2"/>
  <c r="CW44" i="2"/>
  <c r="CV44" i="2"/>
  <c r="CU44" i="2"/>
  <c r="CT44" i="2"/>
  <c r="CQ44" i="2"/>
  <c r="CP44" i="2"/>
  <c r="CO44" i="2"/>
  <c r="CN44" i="2"/>
  <c r="CM44" i="2"/>
  <c r="CL44" i="2"/>
  <c r="CK44" i="2"/>
  <c r="CJ44" i="2"/>
  <c r="CI44" i="2"/>
  <c r="CH44" i="2"/>
  <c r="AO44" i="2"/>
  <c r="AQ44" i="2" s="1"/>
  <c r="AS44" i="2" s="1"/>
  <c r="AU44" i="2" s="1"/>
  <c r="AN44" i="2"/>
  <c r="L44" i="2"/>
  <c r="DC43" i="2"/>
  <c r="DB43" i="2"/>
  <c r="DA43" i="2"/>
  <c r="CZ43" i="2"/>
  <c r="CY43" i="2"/>
  <c r="CX43" i="2"/>
  <c r="CW43" i="2"/>
  <c r="CV43" i="2"/>
  <c r="CU43" i="2"/>
  <c r="CT43" i="2"/>
  <c r="CQ43" i="2"/>
  <c r="CP43" i="2"/>
  <c r="CO43" i="2"/>
  <c r="CN43" i="2"/>
  <c r="CM43" i="2"/>
  <c r="CL43" i="2"/>
  <c r="CK43" i="2"/>
  <c r="CJ43" i="2"/>
  <c r="CI43" i="2"/>
  <c r="CH43" i="2"/>
  <c r="AQ43" i="2"/>
  <c r="AS43" i="2" s="1"/>
  <c r="AU43" i="2" s="1"/>
  <c r="AO43" i="2"/>
  <c r="AP43" i="2" s="1"/>
  <c r="AN43" i="2"/>
  <c r="L43" i="2"/>
  <c r="DC42" i="2"/>
  <c r="DB42" i="2"/>
  <c r="DA42" i="2"/>
  <c r="CZ42" i="2"/>
  <c r="CY42" i="2"/>
  <c r="CX42" i="2"/>
  <c r="CW42" i="2"/>
  <c r="CV42" i="2"/>
  <c r="CU42" i="2"/>
  <c r="CT42" i="2"/>
  <c r="CQ42" i="2"/>
  <c r="CP42" i="2"/>
  <c r="CO42" i="2"/>
  <c r="CN42" i="2"/>
  <c r="CM42" i="2"/>
  <c r="CL42" i="2"/>
  <c r="CK42" i="2"/>
  <c r="CJ42" i="2"/>
  <c r="CI42" i="2"/>
  <c r="CH42" i="2"/>
  <c r="AQ42" i="2"/>
  <c r="AS42" i="2" s="1"/>
  <c r="AU42" i="2" s="1"/>
  <c r="AO42" i="2"/>
  <c r="AP42" i="2" s="1"/>
  <c r="AN42" i="2"/>
  <c r="L42" i="2"/>
  <c r="DC41" i="2"/>
  <c r="DB41" i="2"/>
  <c r="DA41" i="2"/>
  <c r="CZ41" i="2"/>
  <c r="CY41" i="2"/>
  <c r="CX41" i="2"/>
  <c r="CW41" i="2"/>
  <c r="CV41" i="2"/>
  <c r="CU41" i="2"/>
  <c r="CT41" i="2"/>
  <c r="CQ41" i="2"/>
  <c r="CP41" i="2"/>
  <c r="CO41" i="2"/>
  <c r="CN41" i="2"/>
  <c r="CM41" i="2"/>
  <c r="CL41" i="2"/>
  <c r="CK41" i="2"/>
  <c r="CJ41" i="2"/>
  <c r="CI41" i="2"/>
  <c r="CH41" i="2"/>
  <c r="BW41" i="2"/>
  <c r="CV67" i="2" s="1"/>
  <c r="BV41" i="2"/>
  <c r="BX41" i="2" s="1"/>
  <c r="BK41" i="2"/>
  <c r="BJ41" i="2"/>
  <c r="BH41" i="2"/>
  <c r="BF41" i="2"/>
  <c r="BD41" i="2"/>
  <c r="BB41" i="2"/>
  <c r="AZ41" i="2"/>
  <c r="AX41" i="2"/>
  <c r="AV41" i="2"/>
  <c r="AT41" i="2"/>
  <c r="AR41" i="2"/>
  <c r="AP41" i="2"/>
  <c r="AN41" i="2"/>
  <c r="AL41" i="2"/>
  <c r="AJ41" i="2"/>
  <c r="AH41" i="2"/>
  <c r="AF41" i="2"/>
  <c r="AD41" i="2"/>
  <c r="AB41" i="2"/>
  <c r="Z41" i="2"/>
  <c r="X41" i="2"/>
  <c r="V41" i="2"/>
  <c r="T41" i="2"/>
  <c r="R41" i="2"/>
  <c r="P41" i="2"/>
  <c r="N41" i="2"/>
  <c r="L41" i="2"/>
  <c r="J41" i="2"/>
  <c r="BL41" i="2" s="1"/>
  <c r="H41" i="2"/>
  <c r="DC40" i="2"/>
  <c r="DB40" i="2"/>
  <c r="DA40" i="2"/>
  <c r="CZ40" i="2"/>
  <c r="CY40" i="2"/>
  <c r="CX40" i="2"/>
  <c r="CW40" i="2"/>
  <c r="CV40" i="2"/>
  <c r="CU40" i="2"/>
  <c r="CT40" i="2"/>
  <c r="CQ40" i="2"/>
  <c r="CP40" i="2"/>
  <c r="CO40" i="2"/>
  <c r="CN40" i="2"/>
  <c r="CM40" i="2"/>
  <c r="CL40" i="2"/>
  <c r="CK40" i="2"/>
  <c r="CJ40" i="2"/>
  <c r="CI40" i="2"/>
  <c r="CH40" i="2"/>
  <c r="BW40" i="2"/>
  <c r="CU67" i="2" s="1"/>
  <c r="BV40" i="2"/>
  <c r="CI67" i="2" s="1"/>
  <c r="BL40" i="2"/>
  <c r="BK40" i="2"/>
  <c r="BJ40" i="2"/>
  <c r="BH40" i="2"/>
  <c r="BF40" i="2"/>
  <c r="BD40" i="2"/>
  <c r="BB40" i="2"/>
  <c r="AZ40" i="2"/>
  <c r="AX40" i="2"/>
  <c r="AV40" i="2"/>
  <c r="AT40" i="2"/>
  <c r="AR40" i="2"/>
  <c r="AP40" i="2"/>
  <c r="AN40" i="2"/>
  <c r="AL40" i="2"/>
  <c r="AJ40" i="2"/>
  <c r="AH40" i="2"/>
  <c r="AF40" i="2"/>
  <c r="AD40" i="2"/>
  <c r="AB40" i="2"/>
  <c r="Z40" i="2"/>
  <c r="X40" i="2"/>
  <c r="V40" i="2"/>
  <c r="T40" i="2"/>
  <c r="R40" i="2"/>
  <c r="P40" i="2"/>
  <c r="N40" i="2"/>
  <c r="L40" i="2"/>
  <c r="J40" i="2"/>
  <c r="H40" i="2"/>
  <c r="DC39" i="2"/>
  <c r="DB39" i="2"/>
  <c r="DA39" i="2"/>
  <c r="CZ39" i="2"/>
  <c r="CY39" i="2"/>
  <c r="CX39" i="2"/>
  <c r="CW39" i="2"/>
  <c r="CV39" i="2"/>
  <c r="CU39" i="2"/>
  <c r="CT39" i="2"/>
  <c r="CQ39" i="2"/>
  <c r="CP39" i="2"/>
  <c r="CO39" i="2"/>
  <c r="CN39" i="2"/>
  <c r="CM39" i="2"/>
  <c r="CL39" i="2"/>
  <c r="CK39" i="2"/>
  <c r="CJ39" i="2"/>
  <c r="CI39" i="2"/>
  <c r="CH39" i="2"/>
  <c r="AO39" i="2"/>
  <c r="AP39" i="2" s="1"/>
  <c r="AN39" i="2"/>
  <c r="L39" i="2"/>
  <c r="DC38" i="2"/>
  <c r="DB38" i="2"/>
  <c r="DA38" i="2"/>
  <c r="CZ38" i="2"/>
  <c r="CY38" i="2"/>
  <c r="CX38" i="2"/>
  <c r="CW38" i="2"/>
  <c r="CV38" i="2"/>
  <c r="CU38" i="2"/>
  <c r="CT38" i="2"/>
  <c r="CQ38" i="2"/>
  <c r="CP38" i="2"/>
  <c r="CO38" i="2"/>
  <c r="CN38" i="2"/>
  <c r="CM38" i="2"/>
  <c r="CL38" i="2"/>
  <c r="CK38" i="2"/>
  <c r="CJ38" i="2"/>
  <c r="CI38" i="2"/>
  <c r="CH38" i="2"/>
  <c r="BW38" i="2"/>
  <c r="BV38" i="2"/>
  <c r="CH65" i="2" s="1"/>
  <c r="BL38" i="2"/>
  <c r="BK38" i="2"/>
  <c r="BJ38" i="2"/>
  <c r="BH38" i="2"/>
  <c r="BF38" i="2"/>
  <c r="BD38" i="2"/>
  <c r="BB38" i="2"/>
  <c r="AZ38" i="2"/>
  <c r="AX38" i="2"/>
  <c r="AV38" i="2"/>
  <c r="AT38" i="2"/>
  <c r="AR38" i="2"/>
  <c r="AP38" i="2"/>
  <c r="AN38" i="2"/>
  <c r="AL38" i="2"/>
  <c r="AJ38" i="2"/>
  <c r="AH38" i="2"/>
  <c r="AF38" i="2"/>
  <c r="AD38" i="2"/>
  <c r="AB38" i="2"/>
  <c r="Z38" i="2"/>
  <c r="X38" i="2"/>
  <c r="V38" i="2"/>
  <c r="T38" i="2"/>
  <c r="R38" i="2"/>
  <c r="P38" i="2"/>
  <c r="N38" i="2"/>
  <c r="L38" i="2"/>
  <c r="J38" i="2"/>
  <c r="H38" i="2"/>
  <c r="DC37" i="2"/>
  <c r="DB37" i="2"/>
  <c r="DA37" i="2"/>
  <c r="CZ37" i="2"/>
  <c r="CY37" i="2"/>
  <c r="CX37" i="2"/>
  <c r="CW37" i="2"/>
  <c r="CV37" i="2"/>
  <c r="CU37" i="2"/>
  <c r="CT37" i="2"/>
  <c r="CQ37" i="2"/>
  <c r="CP37" i="2"/>
  <c r="CO37" i="2"/>
  <c r="CN37" i="2"/>
  <c r="CM37" i="2"/>
  <c r="CL37" i="2"/>
  <c r="CK37" i="2"/>
  <c r="CJ37" i="2"/>
  <c r="CI37" i="2"/>
  <c r="CH37" i="2"/>
  <c r="BW37" i="2"/>
  <c r="BX37" i="2" s="1"/>
  <c r="BV37" i="2"/>
  <c r="CH57" i="2" s="1"/>
  <c r="BK37" i="2"/>
  <c r="BJ37" i="2"/>
  <c r="BH37" i="2"/>
  <c r="BF37" i="2"/>
  <c r="BD37" i="2"/>
  <c r="BB37" i="2"/>
  <c r="AZ37" i="2"/>
  <c r="AX37" i="2"/>
  <c r="AV37" i="2"/>
  <c r="AT37" i="2"/>
  <c r="AR37" i="2"/>
  <c r="AP37" i="2"/>
  <c r="AN37" i="2"/>
  <c r="AL37" i="2"/>
  <c r="AJ37" i="2"/>
  <c r="AH37" i="2"/>
  <c r="AF37" i="2"/>
  <c r="AD37" i="2"/>
  <c r="AB37" i="2"/>
  <c r="Z37" i="2"/>
  <c r="X37" i="2"/>
  <c r="V37" i="2"/>
  <c r="T37" i="2"/>
  <c r="R37" i="2"/>
  <c r="P37" i="2"/>
  <c r="N37" i="2"/>
  <c r="L37" i="2"/>
  <c r="J37" i="2"/>
  <c r="BL37" i="2" s="1"/>
  <c r="H37" i="2"/>
  <c r="DC36" i="2"/>
  <c r="DB36" i="2"/>
  <c r="DA36" i="2"/>
  <c r="CZ36" i="2"/>
  <c r="CY36" i="2"/>
  <c r="CX36" i="2"/>
  <c r="CW36" i="2"/>
  <c r="CV36" i="2"/>
  <c r="CU36" i="2"/>
  <c r="CT36" i="2"/>
  <c r="CQ36" i="2"/>
  <c r="CP36" i="2"/>
  <c r="CO36" i="2"/>
  <c r="CN36" i="2"/>
  <c r="CM36" i="2"/>
  <c r="CL36" i="2"/>
  <c r="CK36" i="2"/>
  <c r="CJ36" i="2"/>
  <c r="CI36" i="2"/>
  <c r="CH36" i="2"/>
  <c r="BW36" i="2"/>
  <c r="CT56" i="2" s="1"/>
  <c r="BV36" i="2"/>
  <c r="CH56" i="2" s="1"/>
  <c r="BK36" i="2"/>
  <c r="BJ36" i="2"/>
  <c r="BH36" i="2"/>
  <c r="BF36" i="2"/>
  <c r="BD36" i="2"/>
  <c r="BB36" i="2"/>
  <c r="AZ36" i="2"/>
  <c r="AX36" i="2"/>
  <c r="AV36" i="2"/>
  <c r="AT36" i="2"/>
  <c r="AR36" i="2"/>
  <c r="AP36" i="2"/>
  <c r="AN36" i="2"/>
  <c r="AL36" i="2"/>
  <c r="AJ36" i="2"/>
  <c r="AH36" i="2"/>
  <c r="AF36" i="2"/>
  <c r="AD36" i="2"/>
  <c r="AB36" i="2"/>
  <c r="Z36" i="2"/>
  <c r="X36" i="2"/>
  <c r="V36" i="2"/>
  <c r="T36" i="2"/>
  <c r="R36" i="2"/>
  <c r="P36" i="2"/>
  <c r="N36" i="2"/>
  <c r="L36" i="2"/>
  <c r="J36" i="2"/>
  <c r="BL36" i="2" s="1"/>
  <c r="H36" i="2"/>
  <c r="DC35" i="2"/>
  <c r="DB35" i="2"/>
  <c r="DA35" i="2"/>
  <c r="CZ35" i="2"/>
  <c r="CY35" i="2"/>
  <c r="CX35" i="2"/>
  <c r="CW35" i="2"/>
  <c r="CV35" i="2"/>
  <c r="CU35" i="2"/>
  <c r="CT35" i="2"/>
  <c r="CQ35" i="2"/>
  <c r="CP35" i="2"/>
  <c r="CO35" i="2"/>
  <c r="CN35" i="2"/>
  <c r="CM35" i="2"/>
  <c r="CL35" i="2"/>
  <c r="CK35" i="2"/>
  <c r="CJ35" i="2"/>
  <c r="CI35" i="2"/>
  <c r="CH35" i="2"/>
  <c r="BW35" i="2"/>
  <c r="CZ53" i="2" s="1"/>
  <c r="BV35" i="2"/>
  <c r="CN53" i="2" s="1"/>
  <c r="BK35" i="2"/>
  <c r="BJ35" i="2"/>
  <c r="BH35" i="2"/>
  <c r="BF35" i="2"/>
  <c r="BD35" i="2"/>
  <c r="BB35" i="2"/>
  <c r="AZ35" i="2"/>
  <c r="AX35" i="2"/>
  <c r="AV35" i="2"/>
  <c r="AT35" i="2"/>
  <c r="AR35" i="2"/>
  <c r="AP35" i="2"/>
  <c r="AN35" i="2"/>
  <c r="AL35" i="2"/>
  <c r="AJ35" i="2"/>
  <c r="AH35" i="2"/>
  <c r="AF35" i="2"/>
  <c r="AD35" i="2"/>
  <c r="AB35" i="2"/>
  <c r="Z35" i="2"/>
  <c r="X35" i="2"/>
  <c r="V35" i="2"/>
  <c r="T35" i="2"/>
  <c r="R35" i="2"/>
  <c r="P35" i="2"/>
  <c r="N35" i="2"/>
  <c r="L35" i="2"/>
  <c r="J35" i="2"/>
  <c r="BL35" i="2" s="1"/>
  <c r="H35" i="2"/>
  <c r="DC34" i="2"/>
  <c r="DB34" i="2"/>
  <c r="DA34" i="2"/>
  <c r="CZ34" i="2"/>
  <c r="CY34" i="2"/>
  <c r="CX34" i="2"/>
  <c r="CW34" i="2"/>
  <c r="CV34" i="2"/>
  <c r="CU34" i="2"/>
  <c r="CT34" i="2"/>
  <c r="CQ34" i="2"/>
  <c r="CP34" i="2"/>
  <c r="CO34" i="2"/>
  <c r="CN34" i="2"/>
  <c r="CM34" i="2"/>
  <c r="CL34" i="2"/>
  <c r="CK34" i="2"/>
  <c r="CJ34" i="2"/>
  <c r="CI34" i="2"/>
  <c r="CH34" i="2"/>
  <c r="BW34" i="2"/>
  <c r="CY53" i="2" s="1"/>
  <c r="BV34" i="2"/>
  <c r="CM53" i="2" s="1"/>
  <c r="BL34" i="2"/>
  <c r="BK34" i="2"/>
  <c r="BJ34" i="2"/>
  <c r="BH34" i="2"/>
  <c r="BF34" i="2"/>
  <c r="BD34" i="2"/>
  <c r="BB34" i="2"/>
  <c r="AZ34" i="2"/>
  <c r="AX34" i="2"/>
  <c r="AV34" i="2"/>
  <c r="AT34" i="2"/>
  <c r="AR34" i="2"/>
  <c r="AP34" i="2"/>
  <c r="AN34" i="2"/>
  <c r="AL34" i="2"/>
  <c r="AJ34" i="2"/>
  <c r="AH34" i="2"/>
  <c r="AF34" i="2"/>
  <c r="AD34" i="2"/>
  <c r="AB34" i="2"/>
  <c r="Z34" i="2"/>
  <c r="X34" i="2"/>
  <c r="V34" i="2"/>
  <c r="T34" i="2"/>
  <c r="R34" i="2"/>
  <c r="P34" i="2"/>
  <c r="N34" i="2"/>
  <c r="L34" i="2"/>
  <c r="J34" i="2"/>
  <c r="H34" i="2"/>
  <c r="DC33" i="2"/>
  <c r="DB33" i="2"/>
  <c r="DA33" i="2"/>
  <c r="CZ33" i="2"/>
  <c r="CY33" i="2"/>
  <c r="CX33" i="2"/>
  <c r="CW33" i="2"/>
  <c r="CV33" i="2"/>
  <c r="CU33" i="2"/>
  <c r="CT33" i="2"/>
  <c r="CQ33" i="2"/>
  <c r="CP33" i="2"/>
  <c r="CO33" i="2"/>
  <c r="CN33" i="2"/>
  <c r="CM33" i="2"/>
  <c r="CL33" i="2"/>
  <c r="CK33" i="2"/>
  <c r="CJ33" i="2"/>
  <c r="CI33" i="2"/>
  <c r="CH33" i="2"/>
  <c r="BW33" i="2"/>
  <c r="CX53" i="2" s="1"/>
  <c r="BV33" i="2"/>
  <c r="BX33" i="2" s="1"/>
  <c r="BK33" i="2"/>
  <c r="BJ33" i="2"/>
  <c r="BH33" i="2"/>
  <c r="BF33" i="2"/>
  <c r="BD33" i="2"/>
  <c r="BB33" i="2"/>
  <c r="AZ33" i="2"/>
  <c r="AX33" i="2"/>
  <c r="AV33" i="2"/>
  <c r="AT33" i="2"/>
  <c r="AR33" i="2"/>
  <c r="AP33" i="2"/>
  <c r="AN33" i="2"/>
  <c r="AL33" i="2"/>
  <c r="AJ33" i="2"/>
  <c r="AH33" i="2"/>
  <c r="AF33" i="2"/>
  <c r="AD33" i="2"/>
  <c r="AB33" i="2"/>
  <c r="Z33" i="2"/>
  <c r="X33" i="2"/>
  <c r="V33" i="2"/>
  <c r="T33" i="2"/>
  <c r="R33" i="2"/>
  <c r="P33" i="2"/>
  <c r="N33" i="2"/>
  <c r="L33" i="2"/>
  <c r="J33" i="2"/>
  <c r="BL33" i="2" s="1"/>
  <c r="H33" i="2"/>
  <c r="DC32" i="2"/>
  <c r="DB32" i="2"/>
  <c r="DA32" i="2"/>
  <c r="CZ32" i="2"/>
  <c r="CY32" i="2"/>
  <c r="CX32" i="2"/>
  <c r="CW32" i="2"/>
  <c r="CV32" i="2"/>
  <c r="CU32" i="2"/>
  <c r="CT32" i="2"/>
  <c r="CQ32" i="2"/>
  <c r="CP32" i="2"/>
  <c r="CO32" i="2"/>
  <c r="CN32" i="2"/>
  <c r="CM32" i="2"/>
  <c r="CL32" i="2"/>
  <c r="CK32" i="2"/>
  <c r="CJ32" i="2"/>
  <c r="CI32" i="2"/>
  <c r="CH32" i="2"/>
  <c r="BX32" i="2"/>
  <c r="BW32" i="2"/>
  <c r="CW53" i="2" s="1"/>
  <c r="BV32" i="2"/>
  <c r="CK53" i="2" s="1"/>
  <c r="BK32" i="2"/>
  <c r="BJ32" i="2"/>
  <c r="BH32" i="2"/>
  <c r="BF32" i="2"/>
  <c r="BD32" i="2"/>
  <c r="BB32" i="2"/>
  <c r="AZ32" i="2"/>
  <c r="AX32" i="2"/>
  <c r="AV32" i="2"/>
  <c r="AT32" i="2"/>
  <c r="AR32" i="2"/>
  <c r="AP32" i="2"/>
  <c r="AN32" i="2"/>
  <c r="AL32" i="2"/>
  <c r="AF32" i="2"/>
  <c r="AD32" i="2"/>
  <c r="AB32" i="2"/>
  <c r="Z32" i="2"/>
  <c r="X32" i="2"/>
  <c r="V32" i="2"/>
  <c r="T32" i="2"/>
  <c r="R32" i="2"/>
  <c r="P32" i="2"/>
  <c r="N32" i="2"/>
  <c r="L32" i="2"/>
  <c r="J32" i="2"/>
  <c r="BL32" i="2" s="1"/>
  <c r="H32" i="2"/>
  <c r="DC31" i="2"/>
  <c r="DB31" i="2"/>
  <c r="DA31" i="2"/>
  <c r="CZ31" i="2"/>
  <c r="CY31" i="2"/>
  <c r="CX31" i="2"/>
  <c r="CW31" i="2"/>
  <c r="CV31" i="2"/>
  <c r="CU31" i="2"/>
  <c r="CT31" i="2"/>
  <c r="CQ31" i="2"/>
  <c r="CP31" i="2"/>
  <c r="CO31" i="2"/>
  <c r="CN31" i="2"/>
  <c r="CM31" i="2"/>
  <c r="CL31" i="2"/>
  <c r="CK31" i="2"/>
  <c r="CJ31" i="2"/>
  <c r="CI31" i="2"/>
  <c r="CH31" i="2"/>
  <c r="AO31" i="2"/>
  <c r="AQ31" i="2" s="1"/>
  <c r="AS31" i="2" s="1"/>
  <c r="AU31" i="2" s="1"/>
  <c r="AN31" i="2"/>
  <c r="L31" i="2"/>
  <c r="DC30" i="2"/>
  <c r="DB30" i="2"/>
  <c r="DA30" i="2"/>
  <c r="CZ30" i="2"/>
  <c r="CY30" i="2"/>
  <c r="CX30" i="2"/>
  <c r="CW30" i="2"/>
  <c r="CV30" i="2"/>
  <c r="CQ30" i="2"/>
  <c r="CP30" i="2"/>
  <c r="CO30" i="2"/>
  <c r="CN30" i="2"/>
  <c r="CM30" i="2"/>
  <c r="CL30" i="2"/>
  <c r="CK30" i="2"/>
  <c r="CJ30" i="2"/>
  <c r="BW30" i="2"/>
  <c r="CU53" i="2" s="1"/>
  <c r="BV30" i="2"/>
  <c r="CI53" i="2" s="1"/>
  <c r="BK30" i="2"/>
  <c r="BJ30" i="2"/>
  <c r="BH30" i="2"/>
  <c r="BF30" i="2"/>
  <c r="BD30" i="2"/>
  <c r="BB30" i="2"/>
  <c r="AZ30" i="2"/>
  <c r="AX30" i="2"/>
  <c r="AV30" i="2"/>
  <c r="AT30" i="2"/>
  <c r="AR30" i="2"/>
  <c r="AP30" i="2"/>
  <c r="AN30" i="2"/>
  <c r="AL30" i="2"/>
  <c r="AJ30" i="2"/>
  <c r="AH30" i="2"/>
  <c r="AF30" i="2"/>
  <c r="AD30" i="2"/>
  <c r="AB30" i="2"/>
  <c r="Z30" i="2"/>
  <c r="X30" i="2"/>
  <c r="V30" i="2"/>
  <c r="T30" i="2"/>
  <c r="R30" i="2"/>
  <c r="P30" i="2"/>
  <c r="N30" i="2"/>
  <c r="L30" i="2"/>
  <c r="J30" i="2"/>
  <c r="BL30" i="2" s="1"/>
  <c r="H30" i="2"/>
  <c r="DC29" i="2"/>
  <c r="DB29" i="2"/>
  <c r="DA29" i="2"/>
  <c r="CZ29" i="2"/>
  <c r="CY29" i="2"/>
  <c r="CX29" i="2"/>
  <c r="CW29" i="2"/>
  <c r="CV29" i="2"/>
  <c r="CU29" i="2"/>
  <c r="CT29" i="2"/>
  <c r="CQ29" i="2"/>
  <c r="CP29" i="2"/>
  <c r="CO29" i="2"/>
  <c r="CN29" i="2"/>
  <c r="CM29" i="2"/>
  <c r="CL29" i="2"/>
  <c r="CK29" i="2"/>
  <c r="CJ29" i="2"/>
  <c r="CI29" i="2"/>
  <c r="CH29" i="2"/>
  <c r="BW29" i="2"/>
  <c r="CT53" i="2" s="1"/>
  <c r="BV29" i="2"/>
  <c r="CH53" i="2" s="1"/>
  <c r="BL29" i="2"/>
  <c r="BK29" i="2"/>
  <c r="BJ29" i="2"/>
  <c r="BH29" i="2"/>
  <c r="BF29" i="2"/>
  <c r="BD29" i="2"/>
  <c r="BB29" i="2"/>
  <c r="AZ29" i="2"/>
  <c r="AX29" i="2"/>
  <c r="AV29" i="2"/>
  <c r="AT29" i="2"/>
  <c r="AR29" i="2"/>
  <c r="AP29" i="2"/>
  <c r="AN29" i="2"/>
  <c r="AL29" i="2"/>
  <c r="AJ29" i="2"/>
  <c r="AH29" i="2"/>
  <c r="AF29" i="2"/>
  <c r="AD29" i="2"/>
  <c r="AB29" i="2"/>
  <c r="Z29" i="2"/>
  <c r="X29" i="2"/>
  <c r="V29" i="2"/>
  <c r="T29" i="2"/>
  <c r="R29" i="2"/>
  <c r="P29" i="2"/>
  <c r="N29" i="2"/>
  <c r="L29" i="2"/>
  <c r="J29" i="2"/>
  <c r="H29" i="2"/>
  <c r="DC28" i="2"/>
  <c r="DB28" i="2"/>
  <c r="DA28" i="2"/>
  <c r="CZ28" i="2"/>
  <c r="CY28" i="2"/>
  <c r="CX28" i="2"/>
  <c r="CW28" i="2"/>
  <c r="CV28" i="2"/>
  <c r="CU28" i="2"/>
  <c r="CT28" i="2"/>
  <c r="CQ28" i="2"/>
  <c r="CP28" i="2"/>
  <c r="CO28" i="2"/>
  <c r="CN28" i="2"/>
  <c r="CM28" i="2"/>
  <c r="CL28" i="2"/>
  <c r="CK28" i="2"/>
  <c r="CJ28" i="2"/>
  <c r="CI28" i="2"/>
  <c r="CH28" i="2"/>
  <c r="BW28" i="2"/>
  <c r="DA49" i="2" s="1"/>
  <c r="BV28" i="2"/>
  <c r="CO49" i="2" s="1"/>
  <c r="BK28" i="2"/>
  <c r="BJ28" i="2"/>
  <c r="BH28" i="2"/>
  <c r="BF28" i="2"/>
  <c r="BD28" i="2"/>
  <c r="BB28" i="2"/>
  <c r="AZ28" i="2"/>
  <c r="AX28" i="2"/>
  <c r="AV28" i="2"/>
  <c r="AT28" i="2"/>
  <c r="AR28" i="2"/>
  <c r="AP28" i="2"/>
  <c r="AN28" i="2"/>
  <c r="AL28" i="2"/>
  <c r="AJ28" i="2"/>
  <c r="AF28" i="2"/>
  <c r="AD28" i="2"/>
  <c r="AB28" i="2"/>
  <c r="Z28" i="2"/>
  <c r="X28" i="2"/>
  <c r="V28" i="2"/>
  <c r="T28" i="2"/>
  <c r="R28" i="2"/>
  <c r="P28" i="2"/>
  <c r="N28" i="2"/>
  <c r="L28" i="2"/>
  <c r="J28" i="2"/>
  <c r="BL28" i="2" s="1"/>
  <c r="H28" i="2"/>
  <c r="DC27" i="2"/>
  <c r="DB27" i="2"/>
  <c r="DA27" i="2"/>
  <c r="CZ27" i="2"/>
  <c r="CY27" i="2"/>
  <c r="CX27" i="2"/>
  <c r="CW27" i="2"/>
  <c r="CV27" i="2"/>
  <c r="CU27" i="2"/>
  <c r="CT27" i="2"/>
  <c r="CQ27" i="2"/>
  <c r="CP27" i="2"/>
  <c r="CO27" i="2"/>
  <c r="CN27" i="2"/>
  <c r="CM27" i="2"/>
  <c r="CL27" i="2"/>
  <c r="CK27" i="2"/>
  <c r="CJ27" i="2"/>
  <c r="CI27" i="2"/>
  <c r="CH27" i="2"/>
  <c r="BW27" i="2"/>
  <c r="CZ49" i="2" s="1"/>
  <c r="BV27" i="2"/>
  <c r="BL27" i="2"/>
  <c r="BK27" i="2"/>
  <c r="BJ27" i="2"/>
  <c r="BH27" i="2"/>
  <c r="BF27" i="2"/>
  <c r="BD27" i="2"/>
  <c r="BB27" i="2"/>
  <c r="AZ27" i="2"/>
  <c r="AX27" i="2"/>
  <c r="AV27" i="2"/>
  <c r="AT27" i="2"/>
  <c r="AR27" i="2"/>
  <c r="AP27" i="2"/>
  <c r="AN27" i="2"/>
  <c r="AL27" i="2"/>
  <c r="AJ27" i="2"/>
  <c r="AH27" i="2"/>
  <c r="AF27" i="2"/>
  <c r="AD27" i="2"/>
  <c r="AB27" i="2"/>
  <c r="Z27" i="2"/>
  <c r="X27" i="2"/>
  <c r="V27" i="2"/>
  <c r="T27" i="2"/>
  <c r="R27" i="2"/>
  <c r="P27" i="2"/>
  <c r="N27" i="2"/>
  <c r="L27" i="2"/>
  <c r="J27" i="2"/>
  <c r="H27" i="2"/>
  <c r="DC26" i="2"/>
  <c r="DB26" i="2"/>
  <c r="DA26" i="2"/>
  <c r="CZ26" i="2"/>
  <c r="CY26" i="2"/>
  <c r="CX26" i="2"/>
  <c r="CW26" i="2"/>
  <c r="CV26" i="2"/>
  <c r="CU26" i="2"/>
  <c r="CT26" i="2"/>
  <c r="CQ26" i="2"/>
  <c r="CP26" i="2"/>
  <c r="CO26" i="2"/>
  <c r="CN26" i="2"/>
  <c r="CM26" i="2"/>
  <c r="CL26" i="2"/>
  <c r="CK26" i="2"/>
  <c r="CJ26" i="2"/>
  <c r="CI26" i="2"/>
  <c r="CH26" i="2"/>
  <c r="BW26" i="2"/>
  <c r="CY49" i="2" s="1"/>
  <c r="BV26" i="2"/>
  <c r="CM49" i="2" s="1"/>
  <c r="BK26" i="2"/>
  <c r="BJ26" i="2"/>
  <c r="BH26" i="2"/>
  <c r="BF26" i="2"/>
  <c r="BD26" i="2"/>
  <c r="BB26" i="2"/>
  <c r="AZ26" i="2"/>
  <c r="AX26" i="2"/>
  <c r="AV26" i="2"/>
  <c r="AT26" i="2"/>
  <c r="AR26" i="2"/>
  <c r="AP26" i="2"/>
  <c r="AN26" i="2"/>
  <c r="AL26" i="2"/>
  <c r="AJ26" i="2"/>
  <c r="AH26" i="2"/>
  <c r="AF26" i="2"/>
  <c r="AD26" i="2"/>
  <c r="AB26" i="2"/>
  <c r="Z26" i="2"/>
  <c r="X26" i="2"/>
  <c r="V26" i="2"/>
  <c r="T26" i="2"/>
  <c r="R26" i="2"/>
  <c r="P26" i="2"/>
  <c r="N26" i="2"/>
  <c r="L26" i="2"/>
  <c r="J26" i="2"/>
  <c r="BL26" i="2" s="1"/>
  <c r="H26" i="2"/>
  <c r="DC25" i="2"/>
  <c r="DB25" i="2"/>
  <c r="DA25" i="2"/>
  <c r="CZ25" i="2"/>
  <c r="CY25" i="2"/>
  <c r="CX25" i="2"/>
  <c r="CW25" i="2"/>
  <c r="CV25" i="2"/>
  <c r="CU25" i="2"/>
  <c r="CT25" i="2"/>
  <c r="CQ25" i="2"/>
  <c r="CP25" i="2"/>
  <c r="CO25" i="2"/>
  <c r="CN25" i="2"/>
  <c r="CM25" i="2"/>
  <c r="CL25" i="2"/>
  <c r="CK25" i="2"/>
  <c r="CJ25" i="2"/>
  <c r="CI25" i="2"/>
  <c r="CH25" i="2"/>
  <c r="BX25" i="2"/>
  <c r="BW25" i="2"/>
  <c r="CX49" i="2" s="1"/>
  <c r="BV25" i="2"/>
  <c r="CL49" i="2" s="1"/>
  <c r="BK25" i="2"/>
  <c r="BJ25" i="2"/>
  <c r="BH25" i="2"/>
  <c r="BF25" i="2"/>
  <c r="BD25" i="2"/>
  <c r="BB25" i="2"/>
  <c r="AZ25" i="2"/>
  <c r="AX25" i="2"/>
  <c r="AV25" i="2"/>
  <c r="AT25" i="2"/>
  <c r="AR25" i="2"/>
  <c r="AP25" i="2"/>
  <c r="AN25" i="2"/>
  <c r="AL25" i="2"/>
  <c r="AJ25" i="2"/>
  <c r="AH25" i="2"/>
  <c r="AF25" i="2"/>
  <c r="AD25" i="2"/>
  <c r="AB25" i="2"/>
  <c r="Z25" i="2"/>
  <c r="X25" i="2"/>
  <c r="V25" i="2"/>
  <c r="T25" i="2"/>
  <c r="R25" i="2"/>
  <c r="P25" i="2"/>
  <c r="N25" i="2"/>
  <c r="L25" i="2"/>
  <c r="J25" i="2"/>
  <c r="BL25" i="2" s="1"/>
  <c r="H25" i="2"/>
  <c r="DC24" i="2"/>
  <c r="DB24" i="2"/>
  <c r="DA24" i="2"/>
  <c r="CZ24" i="2"/>
  <c r="CY24" i="2"/>
  <c r="CX24" i="2"/>
  <c r="CW24" i="2"/>
  <c r="CV24" i="2"/>
  <c r="CU24" i="2"/>
  <c r="CT24" i="2"/>
  <c r="CQ24" i="2"/>
  <c r="CP24" i="2"/>
  <c r="CO24" i="2"/>
  <c r="CN24" i="2"/>
  <c r="CM24" i="2"/>
  <c r="CL24" i="2"/>
  <c r="CK24" i="2"/>
  <c r="CJ24" i="2"/>
  <c r="CI24" i="2"/>
  <c r="CH24" i="2"/>
  <c r="BW24" i="2"/>
  <c r="CW49" i="2" s="1"/>
  <c r="BV24" i="2"/>
  <c r="CK49" i="2" s="1"/>
  <c r="BL24" i="2"/>
  <c r="BK24" i="2"/>
  <c r="BJ24" i="2"/>
  <c r="BH24" i="2"/>
  <c r="BF24" i="2"/>
  <c r="BD24" i="2"/>
  <c r="BB24" i="2"/>
  <c r="AZ24" i="2"/>
  <c r="AX24" i="2"/>
  <c r="AV24" i="2"/>
  <c r="AT24" i="2"/>
  <c r="AR24" i="2"/>
  <c r="AP24" i="2"/>
  <c r="AN24" i="2"/>
  <c r="AL24" i="2"/>
  <c r="AJ24" i="2"/>
  <c r="AH24" i="2"/>
  <c r="AF24" i="2"/>
  <c r="AD24" i="2"/>
  <c r="AB24" i="2"/>
  <c r="Z24" i="2"/>
  <c r="X24" i="2"/>
  <c r="V24" i="2"/>
  <c r="T24" i="2"/>
  <c r="R24" i="2"/>
  <c r="P24" i="2"/>
  <c r="N24" i="2"/>
  <c r="L24" i="2"/>
  <c r="J24" i="2"/>
  <c r="H24" i="2"/>
  <c r="DC23" i="2"/>
  <c r="DB23" i="2"/>
  <c r="DA23" i="2"/>
  <c r="CZ23" i="2"/>
  <c r="CY23" i="2"/>
  <c r="CX23" i="2"/>
  <c r="CW23" i="2"/>
  <c r="CV23" i="2"/>
  <c r="CU23" i="2"/>
  <c r="CT23" i="2"/>
  <c r="CQ23" i="2"/>
  <c r="CP23" i="2"/>
  <c r="CO23" i="2"/>
  <c r="CN23" i="2"/>
  <c r="CM23" i="2"/>
  <c r="CL23" i="2"/>
  <c r="CK23" i="2"/>
  <c r="CJ23" i="2"/>
  <c r="CI23" i="2"/>
  <c r="CH23" i="2"/>
  <c r="BW23" i="2"/>
  <c r="BX23" i="2" s="1"/>
  <c r="BV23" i="2"/>
  <c r="CJ49" i="2" s="1"/>
  <c r="BL23" i="2"/>
  <c r="BK23" i="2"/>
  <c r="BJ23" i="2"/>
  <c r="BH23" i="2"/>
  <c r="BF23" i="2"/>
  <c r="BD23" i="2"/>
  <c r="BB23" i="2"/>
  <c r="AZ23" i="2"/>
  <c r="AX23" i="2"/>
  <c r="AV23" i="2"/>
  <c r="AT23" i="2"/>
  <c r="AR23" i="2"/>
  <c r="AP23" i="2"/>
  <c r="AN23" i="2"/>
  <c r="AL23" i="2"/>
  <c r="AJ23" i="2"/>
  <c r="AH23" i="2"/>
  <c r="AF23" i="2"/>
  <c r="AD23" i="2"/>
  <c r="AB23" i="2"/>
  <c r="Z23" i="2"/>
  <c r="X23" i="2"/>
  <c r="V23" i="2"/>
  <c r="T23" i="2"/>
  <c r="R23" i="2"/>
  <c r="P23" i="2"/>
  <c r="N23" i="2"/>
  <c r="L23" i="2"/>
  <c r="J23" i="2"/>
  <c r="H23" i="2"/>
  <c r="DC22" i="2"/>
  <c r="DB22" i="2"/>
  <c r="DA22" i="2"/>
  <c r="CZ22" i="2"/>
  <c r="CY22" i="2"/>
  <c r="CX22" i="2"/>
  <c r="CW22" i="2"/>
  <c r="CV22" i="2"/>
  <c r="CU22" i="2"/>
  <c r="CT22" i="2"/>
  <c r="CQ22" i="2"/>
  <c r="CP22" i="2"/>
  <c r="CO22" i="2"/>
  <c r="CN22" i="2"/>
  <c r="CM22" i="2"/>
  <c r="CL22" i="2"/>
  <c r="CK22" i="2"/>
  <c r="CJ22" i="2"/>
  <c r="CI22" i="2"/>
  <c r="CH22" i="2"/>
  <c r="BW22" i="2"/>
  <c r="CU49" i="2" s="1"/>
  <c r="BV22" i="2"/>
  <c r="CI49" i="2" s="1"/>
  <c r="BK22" i="2"/>
  <c r="BJ22" i="2"/>
  <c r="BH22" i="2"/>
  <c r="BF22" i="2"/>
  <c r="BD22" i="2"/>
  <c r="BB22" i="2"/>
  <c r="AZ22" i="2"/>
  <c r="AX22" i="2"/>
  <c r="AV22" i="2"/>
  <c r="AT22" i="2"/>
  <c r="AR22" i="2"/>
  <c r="AP22" i="2"/>
  <c r="AN22" i="2"/>
  <c r="AL22" i="2"/>
  <c r="AJ22" i="2"/>
  <c r="AH22" i="2"/>
  <c r="AF22" i="2"/>
  <c r="AD22" i="2"/>
  <c r="AB22" i="2"/>
  <c r="Z22" i="2"/>
  <c r="X22" i="2"/>
  <c r="V22" i="2"/>
  <c r="T22" i="2"/>
  <c r="R22" i="2"/>
  <c r="P22" i="2"/>
  <c r="N22" i="2"/>
  <c r="L22" i="2"/>
  <c r="J22" i="2"/>
  <c r="BL22" i="2" s="1"/>
  <c r="H22" i="2"/>
  <c r="DC21" i="2"/>
  <c r="DB21" i="2"/>
  <c r="DA21" i="2"/>
  <c r="CZ21" i="2"/>
  <c r="CY21" i="2"/>
  <c r="CX21" i="2"/>
  <c r="CW21" i="2"/>
  <c r="CV21" i="2"/>
  <c r="CU21" i="2"/>
  <c r="CT21" i="2"/>
  <c r="CQ21" i="2"/>
  <c r="CP21" i="2"/>
  <c r="CO21" i="2"/>
  <c r="CN21" i="2"/>
  <c r="CM21" i="2"/>
  <c r="CL21" i="2"/>
  <c r="CK21" i="2"/>
  <c r="CJ21" i="2"/>
  <c r="CI21" i="2"/>
  <c r="CH21" i="2"/>
  <c r="BW21" i="2"/>
  <c r="BX21" i="2" s="1"/>
  <c r="BV21" i="2"/>
  <c r="CH49" i="2" s="1"/>
  <c r="BL21" i="2"/>
  <c r="BK21" i="2"/>
  <c r="BJ21" i="2"/>
  <c r="BH21" i="2"/>
  <c r="BF21" i="2"/>
  <c r="BD21" i="2"/>
  <c r="BB21" i="2"/>
  <c r="AZ21" i="2"/>
  <c r="AX21" i="2"/>
  <c r="AV21" i="2"/>
  <c r="AT21" i="2"/>
  <c r="AR21" i="2"/>
  <c r="AP21" i="2"/>
  <c r="AN21" i="2"/>
  <c r="AL21" i="2"/>
  <c r="AJ21" i="2"/>
  <c r="AH21" i="2"/>
  <c r="AF21" i="2"/>
  <c r="AD21" i="2"/>
  <c r="AB21" i="2"/>
  <c r="Z21" i="2"/>
  <c r="X21" i="2"/>
  <c r="V21" i="2"/>
  <c r="T21" i="2"/>
  <c r="R21" i="2"/>
  <c r="P21" i="2"/>
  <c r="N21" i="2"/>
  <c r="L21" i="2"/>
  <c r="J21" i="2"/>
  <c r="H21" i="2"/>
  <c r="DC20" i="2"/>
  <c r="DB20" i="2"/>
  <c r="DA20" i="2"/>
  <c r="CZ20" i="2"/>
  <c r="CY20" i="2"/>
  <c r="CX20" i="2"/>
  <c r="CW20" i="2"/>
  <c r="CV20" i="2"/>
  <c r="CU20" i="2"/>
  <c r="CT20" i="2"/>
  <c r="CQ20" i="2"/>
  <c r="CP20" i="2"/>
  <c r="CO20" i="2"/>
  <c r="CN20" i="2"/>
  <c r="CM20" i="2"/>
  <c r="CL20" i="2"/>
  <c r="CK20" i="2"/>
  <c r="CJ20" i="2"/>
  <c r="CI20" i="2"/>
  <c r="CH20" i="2"/>
  <c r="BW20" i="2"/>
  <c r="BX20" i="2" s="1"/>
  <c r="BV20" i="2"/>
  <c r="CH46" i="2" s="1"/>
  <c r="BK20" i="2"/>
  <c r="BJ20" i="2"/>
  <c r="BH20" i="2"/>
  <c r="BF20" i="2"/>
  <c r="BD20" i="2"/>
  <c r="BB20" i="2"/>
  <c r="AZ20" i="2"/>
  <c r="AX20" i="2"/>
  <c r="AV20" i="2"/>
  <c r="AT20" i="2"/>
  <c r="AR20" i="2"/>
  <c r="AP20" i="2"/>
  <c r="AN20" i="2"/>
  <c r="AL20" i="2"/>
  <c r="AJ20" i="2"/>
  <c r="AH20" i="2"/>
  <c r="AF20" i="2"/>
  <c r="AD20" i="2"/>
  <c r="AB20" i="2"/>
  <c r="Z20" i="2"/>
  <c r="X20" i="2"/>
  <c r="V20" i="2"/>
  <c r="T20" i="2"/>
  <c r="R20" i="2"/>
  <c r="P20" i="2"/>
  <c r="N20" i="2"/>
  <c r="L20" i="2"/>
  <c r="J20" i="2"/>
  <c r="BL20" i="2" s="1"/>
  <c r="H20" i="2"/>
  <c r="DC19" i="2"/>
  <c r="DB19" i="2"/>
  <c r="DA19" i="2"/>
  <c r="CZ19" i="2"/>
  <c r="CY19" i="2"/>
  <c r="CX19" i="2"/>
  <c r="CW19" i="2"/>
  <c r="CV19" i="2"/>
  <c r="CU19" i="2"/>
  <c r="CT19" i="2"/>
  <c r="CQ19" i="2"/>
  <c r="CP19" i="2"/>
  <c r="CO19" i="2"/>
  <c r="CN19" i="2"/>
  <c r="CM19" i="2"/>
  <c r="CL19" i="2"/>
  <c r="CK19" i="2"/>
  <c r="CJ19" i="2"/>
  <c r="CI19" i="2"/>
  <c r="CH19" i="2"/>
  <c r="AP19" i="2"/>
  <c r="AO19" i="2"/>
  <c r="AQ19" i="2" s="1"/>
  <c r="AS19" i="2" s="1"/>
  <c r="AU19" i="2" s="1"/>
  <c r="AN19" i="2"/>
  <c r="L19" i="2"/>
  <c r="DC18" i="2"/>
  <c r="DB18" i="2"/>
  <c r="CX18" i="2"/>
  <c r="CQ18" i="2"/>
  <c r="CP18" i="2"/>
  <c r="CL18" i="2"/>
  <c r="AO18" i="2"/>
  <c r="AP18" i="2" s="1"/>
  <c r="AN18" i="2"/>
  <c r="L18" i="2"/>
  <c r="DC17" i="2"/>
  <c r="DB17" i="2"/>
  <c r="DA17" i="2"/>
  <c r="CZ17" i="2"/>
  <c r="CY17" i="2"/>
  <c r="CX17" i="2"/>
  <c r="CW17" i="2"/>
  <c r="CV17" i="2"/>
  <c r="CU17" i="2"/>
  <c r="CT17" i="2"/>
  <c r="CQ17" i="2"/>
  <c r="CP17" i="2"/>
  <c r="CO17" i="2"/>
  <c r="CN17" i="2"/>
  <c r="CM17" i="2"/>
  <c r="CL17" i="2"/>
  <c r="CK17" i="2"/>
  <c r="CJ17" i="2"/>
  <c r="CI17" i="2"/>
  <c r="CH17" i="2"/>
  <c r="BW17" i="2"/>
  <c r="BV17" i="2"/>
  <c r="CO18" i="2" s="1"/>
  <c r="BK17" i="2"/>
  <c r="BJ17" i="2"/>
  <c r="BH17" i="2"/>
  <c r="BF17" i="2"/>
  <c r="BD17" i="2"/>
  <c r="BB17" i="2"/>
  <c r="AZ17" i="2"/>
  <c r="AX17" i="2"/>
  <c r="AV17" i="2"/>
  <c r="AT17" i="2"/>
  <c r="AR17" i="2"/>
  <c r="AP17" i="2"/>
  <c r="AN17" i="2"/>
  <c r="AL17" i="2"/>
  <c r="AJ17" i="2"/>
  <c r="AH17" i="2"/>
  <c r="AF17" i="2"/>
  <c r="AD17" i="2"/>
  <c r="AB17" i="2"/>
  <c r="Z17" i="2"/>
  <c r="X17" i="2"/>
  <c r="V17" i="2"/>
  <c r="T17" i="2"/>
  <c r="R17" i="2"/>
  <c r="P17" i="2"/>
  <c r="N17" i="2"/>
  <c r="L17" i="2"/>
  <c r="J17" i="2"/>
  <c r="BL17" i="2" s="1"/>
  <c r="H17" i="2"/>
  <c r="DC16" i="2"/>
  <c r="DB16" i="2"/>
  <c r="DA16" i="2"/>
  <c r="CZ16" i="2"/>
  <c r="CY16" i="2"/>
  <c r="CX16" i="2"/>
  <c r="CW16" i="2"/>
  <c r="CV16" i="2"/>
  <c r="CU16" i="2"/>
  <c r="CT16" i="2"/>
  <c r="CQ16" i="2"/>
  <c r="CP16" i="2"/>
  <c r="CO16" i="2"/>
  <c r="CN16" i="2"/>
  <c r="CM16" i="2"/>
  <c r="CL16" i="2"/>
  <c r="CK16" i="2"/>
  <c r="CJ16" i="2"/>
  <c r="CI16" i="2"/>
  <c r="CH16" i="2"/>
  <c r="BW16" i="2"/>
  <c r="BX16" i="2" s="1"/>
  <c r="BV16" i="2"/>
  <c r="CN18" i="2" s="1"/>
  <c r="BK16" i="2"/>
  <c r="BJ16" i="2"/>
  <c r="BH16" i="2"/>
  <c r="BF16" i="2"/>
  <c r="BD16" i="2"/>
  <c r="BB16" i="2"/>
  <c r="AZ16" i="2"/>
  <c r="AX16" i="2"/>
  <c r="AV16" i="2"/>
  <c r="AT16" i="2"/>
  <c r="AR16" i="2"/>
  <c r="AP16" i="2"/>
  <c r="AN16" i="2"/>
  <c r="AL16" i="2"/>
  <c r="AJ16" i="2"/>
  <c r="AH16" i="2"/>
  <c r="AF16" i="2"/>
  <c r="AD16" i="2"/>
  <c r="AB16" i="2"/>
  <c r="Z16" i="2"/>
  <c r="X16" i="2"/>
  <c r="V16" i="2"/>
  <c r="T16" i="2"/>
  <c r="R16" i="2"/>
  <c r="P16" i="2"/>
  <c r="N16" i="2"/>
  <c r="L16" i="2"/>
  <c r="J16" i="2"/>
  <c r="BL16" i="2" s="1"/>
  <c r="H16" i="2"/>
  <c r="DC15" i="2"/>
  <c r="DB15" i="2"/>
  <c r="DA15" i="2"/>
  <c r="CZ15" i="2"/>
  <c r="CY15" i="2"/>
  <c r="CX15" i="2"/>
  <c r="CW15" i="2"/>
  <c r="CV15" i="2"/>
  <c r="CU15" i="2"/>
  <c r="CT15" i="2"/>
  <c r="CQ15" i="2"/>
  <c r="CP15" i="2"/>
  <c r="CO15" i="2"/>
  <c r="CN15" i="2"/>
  <c r="CM15" i="2"/>
  <c r="CL15" i="2"/>
  <c r="CK15" i="2"/>
  <c r="CJ15" i="2"/>
  <c r="CI15" i="2"/>
  <c r="CH15" i="2"/>
  <c r="BW15" i="2"/>
  <c r="CY18" i="2" s="1"/>
  <c r="BV15" i="2"/>
  <c r="CM18" i="2" s="1"/>
  <c r="BK15" i="2"/>
  <c r="BJ15" i="2"/>
  <c r="BH15" i="2"/>
  <c r="BF15" i="2"/>
  <c r="BD15" i="2"/>
  <c r="BB15" i="2"/>
  <c r="AZ15" i="2"/>
  <c r="AX15" i="2"/>
  <c r="AV15" i="2"/>
  <c r="AT15" i="2"/>
  <c r="AR15" i="2"/>
  <c r="AP15" i="2"/>
  <c r="AN15" i="2"/>
  <c r="AL15" i="2"/>
  <c r="AJ15" i="2"/>
  <c r="AH15" i="2"/>
  <c r="AF15" i="2"/>
  <c r="AD15" i="2"/>
  <c r="AB15" i="2"/>
  <c r="Z15" i="2"/>
  <c r="X15" i="2"/>
  <c r="V15" i="2"/>
  <c r="T15" i="2"/>
  <c r="R15" i="2"/>
  <c r="P15" i="2"/>
  <c r="N15" i="2"/>
  <c r="L15" i="2"/>
  <c r="J15" i="2"/>
  <c r="BL15" i="2" s="1"/>
  <c r="H15" i="2"/>
  <c r="DC14" i="2"/>
  <c r="DB14" i="2"/>
  <c r="DA14" i="2"/>
  <c r="CZ14" i="2"/>
  <c r="CY14" i="2"/>
  <c r="CX14" i="2"/>
  <c r="CW14" i="2"/>
  <c r="CV14" i="2"/>
  <c r="CU14" i="2"/>
  <c r="CT14" i="2"/>
  <c r="CQ14" i="2"/>
  <c r="CP14" i="2"/>
  <c r="CO14" i="2"/>
  <c r="CN14" i="2"/>
  <c r="CM14" i="2"/>
  <c r="CL14" i="2"/>
  <c r="CK14" i="2"/>
  <c r="CJ14" i="2"/>
  <c r="CI14" i="2"/>
  <c r="CH14" i="2"/>
  <c r="BW14" i="2"/>
  <c r="BX14" i="2" s="1"/>
  <c r="BV14" i="2"/>
  <c r="BK14" i="2"/>
  <c r="BJ14" i="2"/>
  <c r="BH14" i="2"/>
  <c r="BF14" i="2"/>
  <c r="BD14" i="2"/>
  <c r="BB14" i="2"/>
  <c r="AZ14" i="2"/>
  <c r="AX14" i="2"/>
  <c r="AV14" i="2"/>
  <c r="AT14" i="2"/>
  <c r="AR14" i="2"/>
  <c r="AP14" i="2"/>
  <c r="AN14" i="2"/>
  <c r="AL14" i="2"/>
  <c r="AJ14" i="2"/>
  <c r="AH14" i="2"/>
  <c r="AF14" i="2"/>
  <c r="AD14" i="2"/>
  <c r="AB14" i="2"/>
  <c r="Z14" i="2"/>
  <c r="X14" i="2"/>
  <c r="V14" i="2"/>
  <c r="T14" i="2"/>
  <c r="R14" i="2"/>
  <c r="P14" i="2"/>
  <c r="N14" i="2"/>
  <c r="L14" i="2"/>
  <c r="J14" i="2"/>
  <c r="BL14" i="2" s="1"/>
  <c r="H14" i="2"/>
  <c r="DC13" i="2"/>
  <c r="DB13" i="2"/>
  <c r="DA13" i="2"/>
  <c r="CZ13" i="2"/>
  <c r="CY13" i="2"/>
  <c r="CX13" i="2"/>
  <c r="CW13" i="2"/>
  <c r="CV13" i="2"/>
  <c r="CU13" i="2"/>
  <c r="CT13" i="2"/>
  <c r="CQ13" i="2"/>
  <c r="CP13" i="2"/>
  <c r="CO13" i="2"/>
  <c r="CN13" i="2"/>
  <c r="CM13" i="2"/>
  <c r="CL13" i="2"/>
  <c r="CK13" i="2"/>
  <c r="CJ13" i="2"/>
  <c r="CI13" i="2"/>
  <c r="CH13" i="2"/>
  <c r="BW13" i="2"/>
  <c r="CW18" i="2" s="1"/>
  <c r="BV13" i="2"/>
  <c r="CK18" i="2" s="1"/>
  <c r="BL13" i="2"/>
  <c r="BK13" i="2"/>
  <c r="BJ13" i="2"/>
  <c r="BH13" i="2"/>
  <c r="BF13" i="2"/>
  <c r="BD13" i="2"/>
  <c r="BB13" i="2"/>
  <c r="AZ13" i="2"/>
  <c r="AX13" i="2"/>
  <c r="AV13" i="2"/>
  <c r="AT13" i="2"/>
  <c r="AR13" i="2"/>
  <c r="AP13" i="2"/>
  <c r="AN13" i="2"/>
  <c r="AL13" i="2"/>
  <c r="AJ13" i="2"/>
  <c r="AH13" i="2"/>
  <c r="AF13" i="2"/>
  <c r="AD13" i="2"/>
  <c r="AB13" i="2"/>
  <c r="Z13" i="2"/>
  <c r="X13" i="2"/>
  <c r="V13" i="2"/>
  <c r="T13" i="2"/>
  <c r="R13" i="2"/>
  <c r="P13" i="2"/>
  <c r="N13" i="2"/>
  <c r="L13" i="2"/>
  <c r="J13" i="2"/>
  <c r="H13" i="2"/>
  <c r="DC12" i="2"/>
  <c r="DB12" i="2"/>
  <c r="DA12" i="2"/>
  <c r="CZ12" i="2"/>
  <c r="CY12" i="2"/>
  <c r="CX12" i="2"/>
  <c r="CW12" i="2"/>
  <c r="CV12" i="2"/>
  <c r="CU12" i="2"/>
  <c r="CT12" i="2"/>
  <c r="CQ12" i="2"/>
  <c r="CP12" i="2"/>
  <c r="CO12" i="2"/>
  <c r="CN12" i="2"/>
  <c r="CM12" i="2"/>
  <c r="CL12" i="2"/>
  <c r="CK12" i="2"/>
  <c r="CJ12" i="2"/>
  <c r="CI12" i="2"/>
  <c r="CH12" i="2"/>
  <c r="BW12" i="2"/>
  <c r="CV18" i="2" s="1"/>
  <c r="BV12" i="2"/>
  <c r="CJ18" i="2" s="1"/>
  <c r="BK12" i="2"/>
  <c r="BJ12" i="2"/>
  <c r="BH12" i="2"/>
  <c r="BF12" i="2"/>
  <c r="BD12" i="2"/>
  <c r="BB12" i="2"/>
  <c r="AZ12" i="2"/>
  <c r="AX12" i="2"/>
  <c r="AV12" i="2"/>
  <c r="AT12" i="2"/>
  <c r="AR12" i="2"/>
  <c r="AP12" i="2"/>
  <c r="AN12" i="2"/>
  <c r="AL12" i="2"/>
  <c r="AJ12" i="2"/>
  <c r="AH12" i="2"/>
  <c r="AF12" i="2"/>
  <c r="AD12" i="2"/>
  <c r="AB12" i="2"/>
  <c r="Z12" i="2"/>
  <c r="X12" i="2"/>
  <c r="V12" i="2"/>
  <c r="T12" i="2"/>
  <c r="R12" i="2"/>
  <c r="P12" i="2"/>
  <c r="N12" i="2"/>
  <c r="L12" i="2"/>
  <c r="J12" i="2"/>
  <c r="BL12" i="2" s="1"/>
  <c r="H12" i="2"/>
  <c r="DC11" i="2"/>
  <c r="DB11" i="2"/>
  <c r="DA11" i="2"/>
  <c r="CZ11" i="2"/>
  <c r="CY11" i="2"/>
  <c r="CX11" i="2"/>
  <c r="CW11" i="2"/>
  <c r="CV11" i="2"/>
  <c r="CU11" i="2"/>
  <c r="CT11" i="2"/>
  <c r="CQ11" i="2"/>
  <c r="CP11" i="2"/>
  <c r="CO11" i="2"/>
  <c r="CN11" i="2"/>
  <c r="CM11" i="2"/>
  <c r="CL11" i="2"/>
  <c r="CK11" i="2"/>
  <c r="CJ11" i="2"/>
  <c r="CI11" i="2"/>
  <c r="CH11" i="2"/>
  <c r="BW11" i="2"/>
  <c r="CU18" i="2" s="1"/>
  <c r="BV11" i="2"/>
  <c r="CI18" i="2" s="1"/>
  <c r="BK11" i="2"/>
  <c r="BJ11" i="2"/>
  <c r="BH11" i="2"/>
  <c r="BF11" i="2"/>
  <c r="BD11" i="2"/>
  <c r="BB11" i="2"/>
  <c r="AZ11" i="2"/>
  <c r="AX11" i="2"/>
  <c r="AV11" i="2"/>
  <c r="AT11" i="2"/>
  <c r="AR11" i="2"/>
  <c r="AP11" i="2"/>
  <c r="AN11" i="2"/>
  <c r="AL11" i="2"/>
  <c r="AJ11" i="2"/>
  <c r="AH11" i="2"/>
  <c r="AF11" i="2"/>
  <c r="AD11" i="2"/>
  <c r="AB11" i="2"/>
  <c r="Z11" i="2"/>
  <c r="X11" i="2"/>
  <c r="V11" i="2"/>
  <c r="T11" i="2"/>
  <c r="R11" i="2"/>
  <c r="P11" i="2"/>
  <c r="N11" i="2"/>
  <c r="L11" i="2"/>
  <c r="J11" i="2"/>
  <c r="BL11" i="2" s="1"/>
  <c r="H11" i="2"/>
  <c r="DC10" i="2"/>
  <c r="DB10" i="2"/>
  <c r="DA10" i="2"/>
  <c r="CZ10" i="2"/>
  <c r="CY10" i="2"/>
  <c r="CX10" i="2"/>
  <c r="CW10" i="2"/>
  <c r="CQ10" i="2"/>
  <c r="CP10" i="2"/>
  <c r="CO10" i="2"/>
  <c r="CN10" i="2"/>
  <c r="CM10" i="2"/>
  <c r="CL10" i="2"/>
  <c r="CK10" i="2"/>
  <c r="BW10" i="2"/>
  <c r="CT18" i="2" s="1"/>
  <c r="BV10" i="2"/>
  <c r="CH18" i="2" s="1"/>
  <c r="BK10" i="2"/>
  <c r="BJ10" i="2"/>
  <c r="BH10" i="2"/>
  <c r="BF10" i="2"/>
  <c r="BD10" i="2"/>
  <c r="BB10" i="2"/>
  <c r="AZ10" i="2"/>
  <c r="AX10" i="2"/>
  <c r="AV10" i="2"/>
  <c r="AT10" i="2"/>
  <c r="AR10" i="2"/>
  <c r="AP10" i="2"/>
  <c r="AN10" i="2"/>
  <c r="AL10" i="2"/>
  <c r="AJ10" i="2"/>
  <c r="AH10" i="2"/>
  <c r="AF10" i="2"/>
  <c r="AD10" i="2"/>
  <c r="AB10" i="2"/>
  <c r="Z10" i="2"/>
  <c r="X10" i="2"/>
  <c r="V10" i="2"/>
  <c r="T10" i="2"/>
  <c r="R10" i="2"/>
  <c r="P10" i="2"/>
  <c r="N10" i="2"/>
  <c r="L10" i="2"/>
  <c r="J10" i="2"/>
  <c r="BL10" i="2" s="1"/>
  <c r="H10" i="2"/>
  <c r="DC9" i="2"/>
  <c r="DB9" i="2"/>
  <c r="DA9" i="2"/>
  <c r="CZ9" i="2"/>
  <c r="CY9" i="2"/>
  <c r="CX9" i="2"/>
  <c r="CW9" i="2"/>
  <c r="CV9" i="2"/>
  <c r="CU9" i="2"/>
  <c r="CT9" i="2"/>
  <c r="CQ9" i="2"/>
  <c r="CP9" i="2"/>
  <c r="CO9" i="2"/>
  <c r="CN9" i="2"/>
  <c r="CM9" i="2"/>
  <c r="CL9" i="2"/>
  <c r="CK9" i="2"/>
  <c r="CJ9" i="2"/>
  <c r="CI9" i="2"/>
  <c r="CH9" i="2"/>
  <c r="BW9" i="2"/>
  <c r="CV10" i="2" s="1"/>
  <c r="BV9" i="2"/>
  <c r="CJ10" i="2" s="1"/>
  <c r="BK9" i="2"/>
  <c r="BJ9" i="2"/>
  <c r="BH9" i="2"/>
  <c r="BF9" i="2"/>
  <c r="BD9" i="2"/>
  <c r="BB9" i="2"/>
  <c r="AZ9" i="2"/>
  <c r="AX9" i="2"/>
  <c r="AV9" i="2"/>
  <c r="AT9" i="2"/>
  <c r="AR9" i="2"/>
  <c r="AP9" i="2"/>
  <c r="AN9" i="2"/>
  <c r="AL9" i="2"/>
  <c r="AJ9" i="2"/>
  <c r="AH9" i="2"/>
  <c r="AF9" i="2"/>
  <c r="AD9" i="2"/>
  <c r="AB9" i="2"/>
  <c r="Z9" i="2"/>
  <c r="X9" i="2"/>
  <c r="V9" i="2"/>
  <c r="T9" i="2"/>
  <c r="R9" i="2"/>
  <c r="P9" i="2"/>
  <c r="N9" i="2"/>
  <c r="L9" i="2"/>
  <c r="J9" i="2"/>
  <c r="BL9" i="2" s="1"/>
  <c r="H9" i="2"/>
  <c r="DC8" i="2"/>
  <c r="DB8" i="2"/>
  <c r="DA8" i="2"/>
  <c r="CZ8" i="2"/>
  <c r="CY8" i="2"/>
  <c r="CX8" i="2"/>
  <c r="CW8" i="2"/>
  <c r="CV8" i="2"/>
  <c r="CU8" i="2"/>
  <c r="CT8" i="2"/>
  <c r="CQ8" i="2"/>
  <c r="CP8" i="2"/>
  <c r="CO8" i="2"/>
  <c r="CN8" i="2"/>
  <c r="CM8" i="2"/>
  <c r="CL8" i="2"/>
  <c r="CK8" i="2"/>
  <c r="CJ8" i="2"/>
  <c r="CI8" i="2"/>
  <c r="CH8" i="2"/>
  <c r="AO8" i="2"/>
  <c r="AQ8" i="2" s="1"/>
  <c r="AS8" i="2" s="1"/>
  <c r="AU8" i="2" s="1"/>
  <c r="AN8" i="2"/>
  <c r="DC7" i="2"/>
  <c r="DB7" i="2"/>
  <c r="DA7" i="2"/>
  <c r="CZ7" i="2"/>
  <c r="CY7" i="2"/>
  <c r="CX7" i="2"/>
  <c r="CW7" i="2"/>
  <c r="CV7" i="2"/>
  <c r="CU7" i="2"/>
  <c r="CT7" i="2"/>
  <c r="CQ7" i="2"/>
  <c r="CP7" i="2"/>
  <c r="CO7" i="2"/>
  <c r="CN7" i="2"/>
  <c r="CM7" i="2"/>
  <c r="CL7" i="2"/>
  <c r="CK7" i="2"/>
  <c r="CJ7" i="2"/>
  <c r="CI7" i="2"/>
  <c r="CH7" i="2"/>
  <c r="BW7" i="2"/>
  <c r="BV7" i="2"/>
  <c r="CH10" i="2" s="1"/>
  <c r="BK7" i="2"/>
  <c r="BJ7" i="2"/>
  <c r="BH7" i="2"/>
  <c r="BF7" i="2"/>
  <c r="BD7" i="2"/>
  <c r="BB7" i="2"/>
  <c r="AZ7" i="2"/>
  <c r="AX7" i="2"/>
  <c r="AV7" i="2"/>
  <c r="AT7" i="2"/>
  <c r="AR7" i="2"/>
  <c r="AP7" i="2"/>
  <c r="AN7" i="2"/>
  <c r="AL7" i="2"/>
  <c r="AJ7" i="2"/>
  <c r="AH7" i="2"/>
  <c r="AF7" i="2"/>
  <c r="AD7" i="2"/>
  <c r="AB7" i="2"/>
  <c r="Z7" i="2"/>
  <c r="X7" i="2"/>
  <c r="V7" i="2"/>
  <c r="T7" i="2"/>
  <c r="R7" i="2"/>
  <c r="P7" i="2"/>
  <c r="N7" i="2"/>
  <c r="L7" i="2"/>
  <c r="J7" i="2"/>
  <c r="BL7" i="2" s="1"/>
  <c r="H7" i="2"/>
  <c r="DC6" i="2"/>
  <c r="DB6" i="2"/>
  <c r="DA6" i="2"/>
  <c r="CZ6" i="2"/>
  <c r="CY6" i="2"/>
  <c r="CX6" i="2"/>
  <c r="CW6" i="2"/>
  <c r="CV6" i="2"/>
  <c r="CU6" i="2"/>
  <c r="CQ6" i="2"/>
  <c r="CP6" i="2"/>
  <c r="CO6" i="2"/>
  <c r="CN6" i="2"/>
  <c r="CM6" i="2"/>
  <c r="CL6" i="2"/>
  <c r="CK6" i="2"/>
  <c r="CJ6" i="2"/>
  <c r="CI6" i="2"/>
  <c r="BW6" i="2"/>
  <c r="CT6" i="2" s="1"/>
  <c r="BV6" i="2"/>
  <c r="CH6" i="2" s="1"/>
  <c r="BK6" i="2"/>
  <c r="BJ6" i="2"/>
  <c r="BH6" i="2"/>
  <c r="BF6" i="2"/>
  <c r="BD6" i="2"/>
  <c r="BB6" i="2"/>
  <c r="AZ6" i="2"/>
  <c r="AX6" i="2"/>
  <c r="AV6" i="2"/>
  <c r="AT6" i="2"/>
  <c r="AR6" i="2"/>
  <c r="AP6" i="2"/>
  <c r="AN6" i="2"/>
  <c r="AL6" i="2"/>
  <c r="AJ6" i="2"/>
  <c r="AH6" i="2"/>
  <c r="AF6" i="2"/>
  <c r="AD6" i="2"/>
  <c r="AB6" i="2"/>
  <c r="Z6" i="2"/>
  <c r="X6" i="2"/>
  <c r="V6" i="2"/>
  <c r="T6" i="2"/>
  <c r="R6" i="2"/>
  <c r="P6" i="2"/>
  <c r="N6" i="2"/>
  <c r="L6" i="2"/>
  <c r="J6" i="2"/>
  <c r="BL6" i="2" s="1"/>
  <c r="H6" i="2"/>
  <c r="DC5" i="2"/>
  <c r="DB5" i="2"/>
  <c r="DA5" i="2"/>
  <c r="CZ5" i="2"/>
  <c r="CY5" i="2"/>
  <c r="CX5" i="2"/>
  <c r="CW5" i="2"/>
  <c r="CV5" i="2"/>
  <c r="CU5" i="2"/>
  <c r="CT5" i="2"/>
  <c r="CQ5" i="2"/>
  <c r="CP5" i="2"/>
  <c r="CO5" i="2"/>
  <c r="CN5" i="2"/>
  <c r="CM5" i="2"/>
  <c r="CL5" i="2"/>
  <c r="CK5" i="2"/>
  <c r="CJ5" i="2"/>
  <c r="CI5" i="2"/>
  <c r="CH5" i="2"/>
  <c r="BW5" i="2"/>
  <c r="BX5" i="2" s="1"/>
  <c r="BV5" i="2"/>
  <c r="BL5" i="2"/>
  <c r="BK5" i="2"/>
  <c r="BJ5" i="2"/>
  <c r="BH5" i="2"/>
  <c r="BF5" i="2"/>
  <c r="BD5" i="2"/>
  <c r="BB5" i="2"/>
  <c r="AZ5" i="2"/>
  <c r="AX5" i="2"/>
  <c r="AV5" i="2"/>
  <c r="AT5" i="2"/>
  <c r="AR5" i="2"/>
  <c r="AP5" i="2"/>
  <c r="AN5" i="2"/>
  <c r="AL5" i="2"/>
  <c r="AJ5" i="2"/>
  <c r="AH5" i="2"/>
  <c r="AF5" i="2"/>
  <c r="AD5" i="2"/>
  <c r="AB5" i="2"/>
  <c r="Z5" i="2"/>
  <c r="X5" i="2"/>
  <c r="V5" i="2"/>
  <c r="T5" i="2"/>
  <c r="R5" i="2"/>
  <c r="P5" i="2"/>
  <c r="N5" i="2"/>
  <c r="L5" i="2"/>
  <c r="J5" i="2"/>
  <c r="H5" i="2"/>
  <c r="DC4" i="2"/>
  <c r="DB4" i="2"/>
  <c r="DA4" i="2"/>
  <c r="CZ4" i="2"/>
  <c r="CY4" i="2"/>
  <c r="CX4" i="2"/>
  <c r="CW4" i="2"/>
  <c r="CV4" i="2"/>
  <c r="CU4" i="2"/>
  <c r="CT4" i="2"/>
  <c r="CQ4" i="2"/>
  <c r="CP4" i="2"/>
  <c r="CO4" i="2"/>
  <c r="CN4" i="2"/>
  <c r="CM4" i="2"/>
  <c r="CL4" i="2"/>
  <c r="CK4" i="2"/>
  <c r="CJ4" i="2"/>
  <c r="CI4" i="2"/>
  <c r="CH4" i="2"/>
  <c r="BW4" i="2"/>
  <c r="BX4" i="2" s="1"/>
  <c r="BV4" i="2"/>
  <c r="CJ2" i="2" s="1"/>
  <c r="AX4" i="2"/>
  <c r="AV4" i="2"/>
  <c r="AT4" i="2"/>
  <c r="AR4" i="2"/>
  <c r="AA4" i="2"/>
  <c r="DC3" i="2"/>
  <c r="DB3" i="2"/>
  <c r="DA3" i="2"/>
  <c r="CZ3" i="2"/>
  <c r="CY3" i="2"/>
  <c r="CX3" i="2"/>
  <c r="CW3" i="2"/>
  <c r="CV3" i="2"/>
  <c r="CU3" i="2"/>
  <c r="CT3" i="2"/>
  <c r="CQ3" i="2"/>
  <c r="CP3" i="2"/>
  <c r="CO3" i="2"/>
  <c r="CN3" i="2"/>
  <c r="CM3" i="2"/>
  <c r="CL3" i="2"/>
  <c r="CK3" i="2"/>
  <c r="CJ3" i="2"/>
  <c r="CI3" i="2"/>
  <c r="CH3" i="2"/>
  <c r="BW3" i="2"/>
  <c r="BX3" i="2" s="1"/>
  <c r="BV3" i="2"/>
  <c r="CI2" i="2" s="1"/>
  <c r="AX3" i="2"/>
  <c r="AV3" i="2"/>
  <c r="AT3" i="2"/>
  <c r="AR3" i="2"/>
  <c r="DC2" i="2"/>
  <c r="DB2" i="2"/>
  <c r="DA2" i="2"/>
  <c r="CZ2" i="2"/>
  <c r="CY2" i="2"/>
  <c r="CX2" i="2"/>
  <c r="CW2" i="2"/>
  <c r="CV2" i="2"/>
  <c r="CQ2" i="2"/>
  <c r="CP2" i="2"/>
  <c r="CO2" i="2"/>
  <c r="CN2" i="2"/>
  <c r="CM2" i="2"/>
  <c r="CL2" i="2"/>
  <c r="CK2" i="2"/>
  <c r="BW2" i="2"/>
  <c r="BX2" i="2" s="1"/>
  <c r="AX2" i="2"/>
  <c r="AV2" i="2"/>
  <c r="AT2" i="2"/>
  <c r="AR2" i="2"/>
  <c r="AP2" i="2"/>
  <c r="AN2" i="2"/>
  <c r="AL2" i="2"/>
  <c r="AJ2" i="2"/>
  <c r="AH2" i="2"/>
  <c r="AF2" i="2"/>
  <c r="AD2" i="2"/>
  <c r="BX121" i="2" l="1"/>
  <c r="BX123" i="2"/>
  <c r="BX102" i="2"/>
  <c r="AV48" i="2"/>
  <c r="AW48" i="2"/>
  <c r="AY48" i="2" s="1"/>
  <c r="AV44" i="2"/>
  <c r="AW44" i="2"/>
  <c r="AY44" i="2" s="1"/>
  <c r="BX9" i="2"/>
  <c r="BX17" i="2"/>
  <c r="AQ18" i="2"/>
  <c r="AS18" i="2" s="1"/>
  <c r="AU18" i="2" s="1"/>
  <c r="BX66" i="2"/>
  <c r="BX84" i="2"/>
  <c r="BX99" i="2"/>
  <c r="BX113" i="2"/>
  <c r="CB36" i="2"/>
  <c r="CB55" i="2"/>
  <c r="CT57" i="2"/>
  <c r="CC88" i="2"/>
  <c r="BX67" i="2"/>
  <c r="BX88" i="2"/>
  <c r="BX105" i="2"/>
  <c r="BX124" i="2"/>
  <c r="BX6" i="2"/>
  <c r="BX11" i="2"/>
  <c r="BX122" i="2"/>
  <c r="AP44" i="2"/>
  <c r="BX12" i="2"/>
  <c r="AP31" i="2"/>
  <c r="BX38" i="2"/>
  <c r="AQ39" i="2"/>
  <c r="AS39" i="2" s="1"/>
  <c r="AU39" i="2" s="1"/>
  <c r="BX50" i="2"/>
  <c r="BX63" i="2"/>
  <c r="BX35" i="2"/>
  <c r="BX78" i="2"/>
  <c r="BX86" i="2"/>
  <c r="BX101" i="2"/>
  <c r="CZ18" i="2"/>
  <c r="BX51" i="2"/>
  <c r="BX64" i="2"/>
  <c r="BX75" i="2"/>
  <c r="BX93" i="2"/>
  <c r="BX104" i="2"/>
  <c r="BX108" i="2"/>
  <c r="CT10" i="2"/>
  <c r="BX7" i="2"/>
  <c r="CT99" i="2"/>
  <c r="BX24" i="2"/>
  <c r="BX27" i="2"/>
  <c r="BX40" i="2"/>
  <c r="BX45" i="2"/>
  <c r="G83" i="6"/>
  <c r="DP89" i="1"/>
  <c r="G40" i="6"/>
  <c r="DP44" i="1"/>
  <c r="G41" i="6"/>
  <c r="DP45" i="1"/>
  <c r="G39" i="6"/>
  <c r="DP43" i="1"/>
  <c r="G12" i="6"/>
  <c r="DP14" i="1"/>
  <c r="G21" i="6"/>
  <c r="DP24" i="1"/>
  <c r="G69" i="6"/>
  <c r="DP75" i="1"/>
  <c r="G52" i="6"/>
  <c r="DP56" i="1"/>
  <c r="G26" i="6"/>
  <c r="DP29" i="1"/>
  <c r="G79" i="6"/>
  <c r="DP85" i="1"/>
  <c r="G63" i="6"/>
  <c r="DP68" i="1"/>
  <c r="G23" i="6"/>
  <c r="DP26" i="1"/>
  <c r="G57" i="6"/>
  <c r="DP62" i="1"/>
  <c r="G56" i="6"/>
  <c r="DP61" i="1"/>
  <c r="G38" i="6"/>
  <c r="DP42" i="1"/>
  <c r="G48" i="6"/>
  <c r="DP52" i="1"/>
  <c r="G28" i="6"/>
  <c r="DP31" i="1"/>
  <c r="G49" i="6"/>
  <c r="DP53" i="1"/>
  <c r="G60" i="6"/>
  <c r="DP65" i="1"/>
  <c r="G86" i="6"/>
  <c r="DP92" i="1"/>
  <c r="G44" i="6"/>
  <c r="DP48" i="1"/>
  <c r="G37" i="6"/>
  <c r="DP41" i="1"/>
  <c r="G70" i="6"/>
  <c r="DP76" i="1"/>
  <c r="G32" i="6"/>
  <c r="DP35" i="1"/>
  <c r="G36" i="6"/>
  <c r="DP40" i="1"/>
  <c r="G7" i="6"/>
  <c r="DP9" i="1"/>
  <c r="G77" i="6"/>
  <c r="DP83" i="1"/>
  <c r="G9" i="6"/>
  <c r="DP11" i="1"/>
  <c r="G45" i="6"/>
  <c r="DP49" i="1"/>
  <c r="G59" i="6"/>
  <c r="DP64" i="1"/>
  <c r="G19" i="6"/>
  <c r="DP21" i="1"/>
  <c r="G35" i="6"/>
  <c r="DP39" i="1"/>
  <c r="G84" i="6"/>
  <c r="DP90" i="1"/>
  <c r="G64" i="6"/>
  <c r="DP69" i="1"/>
  <c r="G71" i="6"/>
  <c r="DP77" i="1"/>
  <c r="G76" i="6"/>
  <c r="DP82" i="1"/>
  <c r="G20" i="6"/>
  <c r="DP22" i="1"/>
  <c r="G4" i="6"/>
  <c r="DP6" i="1"/>
  <c r="G6" i="6"/>
  <c r="DP8" i="1"/>
  <c r="G81" i="6"/>
  <c r="DP87" i="1"/>
  <c r="G13" i="6"/>
  <c r="DP15" i="1"/>
  <c r="G65" i="6"/>
  <c r="DP70" i="1"/>
  <c r="G74" i="6"/>
  <c r="DP80" i="1"/>
  <c r="G55" i="6"/>
  <c r="DP60" i="1"/>
  <c r="G82" i="6"/>
  <c r="DP88" i="1"/>
  <c r="G67" i="6"/>
  <c r="DP73" i="1"/>
  <c r="G50" i="6"/>
  <c r="DP54" i="1"/>
  <c r="G51" i="6"/>
  <c r="DP55" i="1"/>
  <c r="G10" i="6"/>
  <c r="DP12" i="1"/>
  <c r="G31" i="6"/>
  <c r="DP34" i="1"/>
  <c r="G68" i="6"/>
  <c r="DP74" i="1"/>
  <c r="G54" i="6"/>
  <c r="DP58" i="1"/>
  <c r="G62" i="6"/>
  <c r="DP67" i="1"/>
  <c r="G25" i="6"/>
  <c r="DP28" i="1"/>
  <c r="G22" i="6"/>
  <c r="DP25" i="1"/>
  <c r="G18" i="6"/>
  <c r="DP20" i="1"/>
  <c r="G43" i="6"/>
  <c r="DP47" i="1"/>
  <c r="G24" i="6"/>
  <c r="DP27" i="1"/>
  <c r="G3" i="6"/>
  <c r="DP5" i="1"/>
  <c r="G53" i="6"/>
  <c r="DP57" i="1"/>
  <c r="G17" i="6"/>
  <c r="DP19" i="1"/>
  <c r="G85" i="6"/>
  <c r="DP91" i="1"/>
  <c r="G73" i="6"/>
  <c r="DP79" i="1"/>
  <c r="G87" i="6"/>
  <c r="DP93" i="1"/>
  <c r="G30" i="6"/>
  <c r="DP33" i="1"/>
  <c r="G29" i="6"/>
  <c r="DP32" i="1"/>
  <c r="G80" i="6"/>
  <c r="DP86" i="1"/>
  <c r="G16" i="6"/>
  <c r="DP18" i="1"/>
  <c r="G46" i="6"/>
  <c r="DP50" i="1"/>
  <c r="G72" i="6"/>
  <c r="DP78" i="1"/>
  <c r="T16" i="1"/>
  <c r="DQ16" i="1"/>
  <c r="CU2" i="2"/>
  <c r="CB2" i="2"/>
  <c r="CB37" i="2"/>
  <c r="CB70" i="2"/>
  <c r="CC113" i="2"/>
  <c r="CB9" i="2"/>
  <c r="CB59" i="2"/>
  <c r="CC106" i="2"/>
  <c r="CB50" i="2"/>
  <c r="CC107" i="2"/>
  <c r="CB20" i="2"/>
  <c r="CB45" i="2"/>
  <c r="CC39" i="2"/>
  <c r="CC108" i="2"/>
  <c r="CC68" i="2"/>
  <c r="CC89" i="2"/>
  <c r="CB16" i="2"/>
  <c r="CC21" i="2"/>
  <c r="CC22" i="2"/>
  <c r="CB32" i="2"/>
  <c r="CC32" i="2"/>
  <c r="CB34" i="2"/>
  <c r="CB56" i="2"/>
  <c r="CC36" i="2"/>
  <c r="CB117" i="2"/>
  <c r="CB75" i="2"/>
  <c r="CB6" i="2"/>
  <c r="CB7" i="2"/>
  <c r="CB87" i="2"/>
  <c r="CC101" i="2"/>
  <c r="CB104" i="2"/>
  <c r="CC40" i="2"/>
  <c r="CB90" i="2"/>
  <c r="CC90" i="2"/>
  <c r="CC93" i="2"/>
  <c r="CB52" i="2"/>
  <c r="CC86" i="2"/>
  <c r="CB100" i="2"/>
  <c r="CC64" i="2"/>
  <c r="CB68" i="2"/>
  <c r="CB11" i="2"/>
  <c r="CC11" i="2"/>
  <c r="CB13" i="2"/>
  <c r="CC15" i="2"/>
  <c r="CB28" i="2"/>
  <c r="CC34" i="2"/>
  <c r="CB51" i="2"/>
  <c r="CC51" i="2"/>
  <c r="CB54" i="2"/>
  <c r="CC55" i="2"/>
  <c r="CB80" i="2"/>
  <c r="CC110" i="2"/>
  <c r="CB113" i="2"/>
  <c r="CB22" i="2"/>
  <c r="CB24" i="2"/>
  <c r="CC25" i="2"/>
  <c r="CC42" i="2"/>
  <c r="CB99" i="2"/>
  <c r="CB63" i="2"/>
  <c r="CC63" i="2"/>
  <c r="CB64" i="2"/>
  <c r="CB114" i="2"/>
  <c r="CC75" i="2"/>
  <c r="CB81" i="2"/>
  <c r="CB95" i="2"/>
  <c r="CC95" i="2"/>
  <c r="CB109" i="2"/>
  <c r="CB116" i="2"/>
  <c r="CB14" i="2"/>
  <c r="CC19" i="2"/>
  <c r="CC37" i="2"/>
  <c r="CB84" i="2"/>
  <c r="CB46" i="2"/>
  <c r="CB41" i="2"/>
  <c r="CC41" i="2"/>
  <c r="CB76" i="2"/>
  <c r="CC52" i="2"/>
  <c r="CB103" i="2"/>
  <c r="CB74" i="2"/>
  <c r="CB78" i="2"/>
  <c r="CC78" i="2"/>
  <c r="CC81" i="2"/>
  <c r="CB89" i="2"/>
  <c r="CB91" i="2"/>
  <c r="CC92" i="2"/>
  <c r="CC115" i="2"/>
  <c r="CB12" i="2"/>
  <c r="CB47" i="2"/>
  <c r="CC57" i="2"/>
  <c r="CC103" i="2"/>
  <c r="CC62" i="2"/>
  <c r="CC77" i="2"/>
  <c r="CC87" i="2"/>
  <c r="CB106" i="2"/>
  <c r="CB107" i="2"/>
  <c r="CB110" i="2"/>
  <c r="CC5" i="2"/>
  <c r="CC8" i="2"/>
  <c r="CC20" i="2"/>
  <c r="CB65" i="2"/>
  <c r="CC76" i="2"/>
  <c r="CB5" i="2"/>
  <c r="CB15" i="2"/>
  <c r="CC16" i="2"/>
  <c r="CB25" i="2"/>
  <c r="CB29" i="2"/>
  <c r="CB31" i="2"/>
  <c r="CC31" i="2"/>
  <c r="CC35" i="2"/>
  <c r="CB43" i="2"/>
  <c r="CC47" i="2"/>
  <c r="CC97" i="2"/>
  <c r="CB60" i="2"/>
  <c r="CC60" i="2"/>
  <c r="CC70" i="2"/>
  <c r="CC84" i="2"/>
  <c r="CB86" i="2"/>
  <c r="CB101" i="2"/>
  <c r="CC109" i="2"/>
  <c r="CB111" i="2"/>
  <c r="CB115" i="2"/>
  <c r="CB40" i="2"/>
  <c r="CC3" i="2"/>
  <c r="CC6" i="2"/>
  <c r="CC12" i="2"/>
  <c r="CB19" i="2"/>
  <c r="CC38" i="2"/>
  <c r="CB42" i="2"/>
  <c r="CC13" i="2"/>
  <c r="CB26" i="2"/>
  <c r="CB38" i="2"/>
  <c r="CC43" i="2"/>
  <c r="CC48" i="2"/>
  <c r="CC50" i="2"/>
  <c r="CB61" i="2"/>
  <c r="CC61" i="2"/>
  <c r="CB62" i="2"/>
  <c r="CB66" i="2"/>
  <c r="CC66" i="2"/>
  <c r="CB82" i="2"/>
  <c r="CC82" i="2"/>
  <c r="CC91" i="2"/>
  <c r="CB92" i="2"/>
  <c r="CC99" i="2"/>
  <c r="CC111" i="2"/>
  <c r="CB23" i="2"/>
  <c r="CC23" i="2"/>
  <c r="CC26" i="2"/>
  <c r="CB35" i="2"/>
  <c r="CB39" i="2"/>
  <c r="CC44" i="2"/>
  <c r="CC73" i="2"/>
  <c r="CB93" i="2"/>
  <c r="CB105" i="2"/>
  <c r="CC116" i="2"/>
  <c r="CC7" i="2"/>
  <c r="CB8" i="2"/>
  <c r="CC9" i="2"/>
  <c r="CC17" i="2"/>
  <c r="CC24" i="2"/>
  <c r="CC56" i="2"/>
  <c r="CC54" i="2"/>
  <c r="CB72" i="2"/>
  <c r="CC72" i="2"/>
  <c r="CB73" i="2"/>
  <c r="CC85" i="2"/>
  <c r="CB112" i="2"/>
  <c r="CC112" i="2"/>
  <c r="CB4" i="2"/>
  <c r="CC4" i="2"/>
  <c r="CC14" i="2"/>
  <c r="CB21" i="2"/>
  <c r="CB69" i="2"/>
  <c r="CB48" i="2"/>
  <c r="CB58" i="2"/>
  <c r="CC58" i="2"/>
  <c r="CC74" i="2"/>
  <c r="CB77" i="2"/>
  <c r="CC80" i="2"/>
  <c r="CB88" i="2"/>
  <c r="CB97" i="2"/>
  <c r="CC100" i="2"/>
  <c r="CC104" i="2"/>
  <c r="CC105" i="2"/>
  <c r="CB3" i="2"/>
  <c r="CB17" i="2"/>
  <c r="CB27" i="2"/>
  <c r="CC27" i="2"/>
  <c r="CC28" i="2"/>
  <c r="CC29" i="2"/>
  <c r="CB33" i="2"/>
  <c r="CC33" i="2"/>
  <c r="CB57" i="2"/>
  <c r="CB44" i="2"/>
  <c r="CC45" i="2"/>
  <c r="CC59" i="2"/>
  <c r="CB108" i="2"/>
  <c r="CB71" i="2"/>
  <c r="CC71" i="2"/>
  <c r="CB79" i="2"/>
  <c r="CC79" i="2"/>
  <c r="CB85" i="2"/>
  <c r="CB94" i="2"/>
  <c r="CC94" i="2"/>
  <c r="CC117" i="2"/>
  <c r="X27" i="1"/>
  <c r="H24" i="6" s="1"/>
  <c r="X92" i="1"/>
  <c r="H86" i="6" s="1"/>
  <c r="X76" i="1"/>
  <c r="H70" i="6" s="1"/>
  <c r="X51" i="1"/>
  <c r="H47" i="6" s="1"/>
  <c r="G47" i="6"/>
  <c r="X17" i="1"/>
  <c r="H15" i="6" s="1"/>
  <c r="G15" i="6"/>
  <c r="X66" i="1"/>
  <c r="H61" i="6" s="1"/>
  <c r="G61" i="6"/>
  <c r="X38" i="1"/>
  <c r="H34" i="6" s="1"/>
  <c r="G34" i="6"/>
  <c r="X46" i="1"/>
  <c r="H42" i="6" s="1"/>
  <c r="G42" i="6"/>
  <c r="X13" i="1"/>
  <c r="H11" i="6" s="1"/>
  <c r="G11" i="6"/>
  <c r="X37" i="1"/>
  <c r="H33" i="6" s="1"/>
  <c r="G33" i="6"/>
  <c r="AD93" i="1"/>
  <c r="AE93" i="1"/>
  <c r="X33" i="1"/>
  <c r="H30" i="6" s="1"/>
  <c r="AD33" i="1"/>
  <c r="AE33" i="1"/>
  <c r="X32" i="1"/>
  <c r="H29" i="6" s="1"/>
  <c r="AD32" i="1"/>
  <c r="AE32" i="1"/>
  <c r="X86" i="1"/>
  <c r="AD86" i="1"/>
  <c r="AE86" i="1"/>
  <c r="X50" i="1"/>
  <c r="AD50" i="1"/>
  <c r="AE50" i="1"/>
  <c r="X78" i="1"/>
  <c r="H72" i="6" s="1"/>
  <c r="AD78" i="1"/>
  <c r="AE78" i="1"/>
  <c r="X89" i="1"/>
  <c r="H83" i="6" s="1"/>
  <c r="AD89" i="1"/>
  <c r="AE89" i="1"/>
  <c r="AD72" i="1"/>
  <c r="AE72" i="1"/>
  <c r="AD44" i="1"/>
  <c r="AE44" i="1"/>
  <c r="AD45" i="1"/>
  <c r="AE45" i="1"/>
  <c r="AD43" i="1"/>
  <c r="AE43" i="1"/>
  <c r="AD24" i="1"/>
  <c r="AE24" i="1"/>
  <c r="AD79" i="1"/>
  <c r="AE79" i="1"/>
  <c r="AD75" i="1"/>
  <c r="AE75" i="1"/>
  <c r="AD56" i="1"/>
  <c r="AE56" i="1"/>
  <c r="AD29" i="1"/>
  <c r="AE29" i="1"/>
  <c r="X85" i="1"/>
  <c r="H79" i="6" s="1"/>
  <c r="AD85" i="1"/>
  <c r="AE85" i="1"/>
  <c r="AD68" i="1"/>
  <c r="AE68" i="1"/>
  <c r="X26" i="1"/>
  <c r="AD26" i="1"/>
  <c r="AE26" i="1"/>
  <c r="AD62" i="1"/>
  <c r="AE62" i="1"/>
  <c r="AD61" i="1"/>
  <c r="AE61" i="1"/>
  <c r="AD42" i="1"/>
  <c r="AE42" i="1"/>
  <c r="AD52" i="1"/>
  <c r="AE52" i="1"/>
  <c r="X31" i="1"/>
  <c r="AD31" i="1"/>
  <c r="AE31" i="1"/>
  <c r="X53" i="1"/>
  <c r="AD53" i="1"/>
  <c r="AE53" i="1"/>
  <c r="X65" i="1"/>
  <c r="AD65" i="1"/>
  <c r="AE65" i="1"/>
  <c r="AD92" i="1"/>
  <c r="AE92" i="1"/>
  <c r="AD91" i="1"/>
  <c r="AE91" i="1"/>
  <c r="X48" i="1"/>
  <c r="AD48" i="1"/>
  <c r="AE48" i="1"/>
  <c r="X41" i="1"/>
  <c r="AD41" i="1"/>
  <c r="AE41" i="1"/>
  <c r="AD51" i="1"/>
  <c r="AE51" i="1"/>
  <c r="AD66" i="1"/>
  <c r="AE66" i="1"/>
  <c r="AD38" i="1"/>
  <c r="AE38" i="1"/>
  <c r="AD76" i="1"/>
  <c r="AE76" i="1"/>
  <c r="AD35" i="1"/>
  <c r="AE35" i="1"/>
  <c r="AD40" i="1"/>
  <c r="AE40" i="1"/>
  <c r="AD83" i="1"/>
  <c r="AE83" i="1"/>
  <c r="X49" i="1"/>
  <c r="H45" i="6" s="1"/>
  <c r="AD49" i="1"/>
  <c r="AE49" i="1"/>
  <c r="AD64" i="1"/>
  <c r="AE64" i="1"/>
  <c r="X57" i="1"/>
  <c r="AD57" i="1"/>
  <c r="AE57" i="1"/>
  <c r="AD39" i="1"/>
  <c r="AE39" i="1"/>
  <c r="X90" i="1"/>
  <c r="AD90" i="1"/>
  <c r="AE90" i="1"/>
  <c r="AD69" i="1"/>
  <c r="AE69" i="1"/>
  <c r="X77" i="1"/>
  <c r="AD77" i="1"/>
  <c r="AE77" i="1"/>
  <c r="AD82" i="1"/>
  <c r="AE82" i="1"/>
  <c r="AD87" i="1"/>
  <c r="AE87" i="1"/>
  <c r="AD70" i="1"/>
  <c r="AE70" i="1"/>
  <c r="AD80" i="1"/>
  <c r="AE80" i="1"/>
  <c r="AD60" i="1"/>
  <c r="AE60" i="1"/>
  <c r="X88" i="1"/>
  <c r="AD88" i="1"/>
  <c r="AE88" i="1"/>
  <c r="AD73" i="1"/>
  <c r="AE73" i="1"/>
  <c r="X54" i="1"/>
  <c r="AD54" i="1"/>
  <c r="AE54" i="1"/>
  <c r="X55" i="1"/>
  <c r="AD55" i="1"/>
  <c r="AE55" i="1"/>
  <c r="X91" i="1"/>
  <c r="AD34" i="1"/>
  <c r="AE34" i="1"/>
  <c r="X74" i="1"/>
  <c r="AD74" i="1"/>
  <c r="AE74" i="1"/>
  <c r="AD58" i="1"/>
  <c r="AE58" i="1"/>
  <c r="X67" i="1"/>
  <c r="H62" i="6" s="1"/>
  <c r="AD67" i="1"/>
  <c r="AE67" i="1"/>
  <c r="X28" i="1"/>
  <c r="AD28" i="1"/>
  <c r="AE28" i="1"/>
  <c r="X25" i="1"/>
  <c r="AD25" i="1"/>
  <c r="AE25" i="1"/>
  <c r="X47" i="1"/>
  <c r="AD47" i="1"/>
  <c r="AE47" i="1"/>
  <c r="AD46" i="1"/>
  <c r="AE46" i="1"/>
  <c r="AD27" i="1"/>
  <c r="AE27" i="1"/>
  <c r="AD37" i="1"/>
  <c r="AE37" i="1"/>
  <c r="X6" i="1"/>
  <c r="AD6" i="1"/>
  <c r="AE6" i="1"/>
  <c r="AD8" i="1"/>
  <c r="AE8" i="1"/>
  <c r="X12" i="1"/>
  <c r="AD12" i="1"/>
  <c r="AE12" i="1"/>
  <c r="AD15" i="1"/>
  <c r="AE15" i="1"/>
  <c r="AD20" i="1"/>
  <c r="AE20" i="1"/>
  <c r="AD13" i="1"/>
  <c r="AE13" i="1"/>
  <c r="AD18" i="1"/>
  <c r="AE18" i="1"/>
  <c r="AD14" i="1"/>
  <c r="AE14" i="1"/>
  <c r="X19" i="1"/>
  <c r="AD19" i="1"/>
  <c r="AE19" i="1"/>
  <c r="AD17" i="1"/>
  <c r="AE17" i="1"/>
  <c r="AD9" i="1"/>
  <c r="AE9" i="1"/>
  <c r="X11" i="1"/>
  <c r="AD11" i="1"/>
  <c r="AE11" i="1"/>
  <c r="AD5" i="1"/>
  <c r="AE5" i="1"/>
  <c r="AD21" i="1"/>
  <c r="AE21" i="1"/>
  <c r="AD22" i="1"/>
  <c r="AE22" i="1"/>
  <c r="X62" i="1"/>
  <c r="X83" i="1"/>
  <c r="X93" i="1"/>
  <c r="X22" i="1"/>
  <c r="X35" i="1"/>
  <c r="X58" i="1"/>
  <c r="X18" i="1"/>
  <c r="X69" i="1"/>
  <c r="H64" i="6" s="1"/>
  <c r="X82" i="1"/>
  <c r="Y75" i="1"/>
  <c r="Y60" i="1"/>
  <c r="Y72" i="1"/>
  <c r="DU72" i="1" s="1"/>
  <c r="Y44" i="1"/>
  <c r="Y87" i="1"/>
  <c r="Y45" i="1"/>
  <c r="Y43" i="1"/>
  <c r="Y70" i="1"/>
  <c r="Y80" i="1"/>
  <c r="Y24" i="1"/>
  <c r="Y61" i="1"/>
  <c r="Y34" i="1"/>
  <c r="Y56" i="1"/>
  <c r="Y88" i="1"/>
  <c r="Y29" i="1"/>
  <c r="Y73" i="1"/>
  <c r="Y85" i="1"/>
  <c r="Y54" i="1"/>
  <c r="Y68" i="1"/>
  <c r="Y55" i="1"/>
  <c r="Y26" i="1"/>
  <c r="Y62" i="1"/>
  <c r="Y48" i="1"/>
  <c r="Y42" i="1"/>
  <c r="Y74" i="1"/>
  <c r="Y52" i="1"/>
  <c r="Y58" i="1"/>
  <c r="Y31" i="1"/>
  <c r="Y67" i="1"/>
  <c r="Y53" i="1"/>
  <c r="Y28" i="1"/>
  <c r="Y65" i="1"/>
  <c r="Y25" i="1"/>
  <c r="Y92" i="1"/>
  <c r="Y35" i="1"/>
  <c r="Y41" i="1"/>
  <c r="Y47" i="1"/>
  <c r="Y51" i="1"/>
  <c r="Y46" i="1"/>
  <c r="Y66" i="1"/>
  <c r="Y27" i="1"/>
  <c r="Y38" i="1"/>
  <c r="Y37" i="1"/>
  <c r="Y76" i="1"/>
  <c r="Y33" i="1"/>
  <c r="Y40" i="1"/>
  <c r="Y57" i="1"/>
  <c r="Y83" i="1"/>
  <c r="Y91" i="1"/>
  <c r="Y79" i="1"/>
  <c r="Y49" i="1"/>
  <c r="Y93" i="1"/>
  <c r="Y64" i="1"/>
  <c r="X68" i="1"/>
  <c r="H63" i="6" s="1"/>
  <c r="Y89" i="1"/>
  <c r="Y39" i="1"/>
  <c r="Y32" i="1"/>
  <c r="Y90" i="1"/>
  <c r="Y86" i="1"/>
  <c r="Y69" i="1"/>
  <c r="Y77" i="1"/>
  <c r="Y50" i="1"/>
  <c r="Y82" i="1"/>
  <c r="Y78" i="1"/>
  <c r="X5" i="1"/>
  <c r="Y12" i="1"/>
  <c r="Y8" i="1"/>
  <c r="Y20" i="1"/>
  <c r="Y15" i="1"/>
  <c r="Y5" i="1"/>
  <c r="Y17" i="1"/>
  <c r="Y13" i="1"/>
  <c r="Y14" i="1"/>
  <c r="Y21" i="1"/>
  <c r="Y9" i="1"/>
  <c r="Y19" i="1"/>
  <c r="Y11" i="1"/>
  <c r="X20" i="1"/>
  <c r="Y6" i="1"/>
  <c r="Y18" i="1"/>
  <c r="Y22" i="1"/>
  <c r="X42" i="1"/>
  <c r="X43" i="1"/>
  <c r="H39" i="6" s="1"/>
  <c r="X44" i="1"/>
  <c r="X34" i="1"/>
  <c r="X9" i="1"/>
  <c r="X61" i="1"/>
  <c r="H56" i="6" s="1"/>
  <c r="X40" i="1"/>
  <c r="X79" i="1"/>
  <c r="X64" i="1"/>
  <c r="X21" i="1"/>
  <c r="H19" i="6" s="1"/>
  <c r="X87" i="1"/>
  <c r="H81" i="6" s="1"/>
  <c r="X75" i="1"/>
  <c r="X8" i="1"/>
  <c r="X29" i="1"/>
  <c r="H26" i="6" s="1"/>
  <c r="X73" i="1"/>
  <c r="X39" i="1"/>
  <c r="X56" i="1"/>
  <c r="X45" i="1"/>
  <c r="X52" i="1"/>
  <c r="H48" i="6" s="1"/>
  <c r="X80" i="1"/>
  <c r="X14" i="1"/>
  <c r="X70" i="1"/>
  <c r="X15" i="1"/>
  <c r="H13" i="6" s="1"/>
  <c r="X24" i="1"/>
  <c r="H21" i="6" s="1"/>
  <c r="AA92" i="1"/>
  <c r="D18" i="13" s="1"/>
  <c r="X72" i="1"/>
  <c r="X60" i="1"/>
  <c r="H55" i="6" s="1"/>
  <c r="AC13" i="4"/>
  <c r="AJ13" i="4"/>
  <c r="AN13" i="4"/>
  <c r="T13" i="4"/>
  <c r="AG13" i="4"/>
  <c r="Y13" i="4"/>
  <c r="AI13" i="4"/>
  <c r="U13" i="4"/>
  <c r="W13" i="4"/>
  <c r="AE13" i="4"/>
  <c r="X13" i="4"/>
  <c r="AM13" i="4"/>
  <c r="AL13" i="4"/>
  <c r="AH13" i="4"/>
  <c r="S13" i="4"/>
  <c r="AO13" i="4"/>
  <c r="AD13" i="4"/>
  <c r="AB13" i="4"/>
  <c r="AK13" i="4"/>
  <c r="V13" i="4"/>
  <c r="Z13" i="4"/>
  <c r="AA13" i="4"/>
  <c r="AF13" i="4"/>
  <c r="O14" i="4"/>
  <c r="P14" i="4" s="1"/>
  <c r="N14" i="4"/>
  <c r="H16" i="4"/>
  <c r="I15" i="4"/>
  <c r="G16" i="4"/>
  <c r="F17" i="4"/>
  <c r="CB18" i="2"/>
  <c r="AV18" i="2"/>
  <c r="AW18" i="2"/>
  <c r="AV19" i="2"/>
  <c r="AW19" i="2"/>
  <c r="AW61" i="2"/>
  <c r="AV61" i="2"/>
  <c r="AW31" i="2"/>
  <c r="AV31" i="2"/>
  <c r="AW42" i="2"/>
  <c r="AV42" i="2"/>
  <c r="AV47" i="2"/>
  <c r="AW47" i="2"/>
  <c r="AV43" i="2"/>
  <c r="AW43" i="2"/>
  <c r="AW8" i="2"/>
  <c r="AV8" i="2"/>
  <c r="CB98" i="2"/>
  <c r="AV39" i="2"/>
  <c r="AW39" i="2"/>
  <c r="AW49" i="2"/>
  <c r="AV49" i="2"/>
  <c r="BA48" i="2"/>
  <c r="AZ48" i="2"/>
  <c r="CB49" i="2"/>
  <c r="BA44" i="2"/>
  <c r="AZ44" i="2"/>
  <c r="DA18" i="2"/>
  <c r="CC18" i="2" s="1"/>
  <c r="BX22" i="2"/>
  <c r="BX29" i="2"/>
  <c r="AX44" i="2"/>
  <c r="AX48" i="2"/>
  <c r="BX13" i="2"/>
  <c r="BX34" i="2"/>
  <c r="BX52" i="2"/>
  <c r="BX65" i="2"/>
  <c r="CT65" i="2"/>
  <c r="CC65" i="2" s="1"/>
  <c r="CT96" i="2"/>
  <c r="BX15" i="2"/>
  <c r="BX36" i="2"/>
  <c r="CT49" i="2"/>
  <c r="CL53" i="2"/>
  <c r="BX54" i="2"/>
  <c r="CT69" i="2"/>
  <c r="CC69" i="2" s="1"/>
  <c r="CU114" i="2"/>
  <c r="CC114" i="2" s="1"/>
  <c r="BX10" i="2"/>
  <c r="BX26" i="2"/>
  <c r="BX56" i="2"/>
  <c r="BX58" i="2"/>
  <c r="CT98" i="2"/>
  <c r="AP8" i="2"/>
  <c r="BX28" i="2"/>
  <c r="BX46" i="2"/>
  <c r="AP49" i="2"/>
  <c r="CV49" i="2"/>
  <c r="AP61" i="2"/>
  <c r="CJ67" i="2"/>
  <c r="CI96" i="2"/>
  <c r="CB96" i="2" s="1"/>
  <c r="CT46" i="2"/>
  <c r="CC46" i="2" s="1"/>
  <c r="CV98" i="2"/>
  <c r="BX30" i="2"/>
  <c r="CY96" i="2"/>
  <c r="CT2" i="2"/>
  <c r="CC2" i="2" s="1"/>
  <c r="AA76" i="1" l="1"/>
  <c r="D9" i="13" s="1"/>
  <c r="AA27" i="1"/>
  <c r="D38" i="13" s="1"/>
  <c r="I54" i="6"/>
  <c r="DU58" i="1"/>
  <c r="I19" i="6"/>
  <c r="DU21" i="1"/>
  <c r="I46" i="6"/>
  <c r="DU50" i="1"/>
  <c r="I73" i="6"/>
  <c r="DU79" i="1"/>
  <c r="I47" i="6"/>
  <c r="DU51" i="1"/>
  <c r="I48" i="6"/>
  <c r="DU52" i="1"/>
  <c r="I82" i="6"/>
  <c r="DU88" i="1"/>
  <c r="I55" i="6"/>
  <c r="DU60" i="1"/>
  <c r="I7" i="6"/>
  <c r="DU9" i="1"/>
  <c r="I69" i="6"/>
  <c r="DU75" i="1"/>
  <c r="I71" i="6"/>
  <c r="DU77" i="1"/>
  <c r="I11" i="6"/>
  <c r="DU13" i="1"/>
  <c r="I64" i="6"/>
  <c r="DU69" i="1"/>
  <c r="I77" i="6"/>
  <c r="DU83" i="1"/>
  <c r="I37" i="6"/>
  <c r="DU41" i="1"/>
  <c r="I38" i="6"/>
  <c r="DU42" i="1"/>
  <c r="I31" i="6"/>
  <c r="DU34" i="1"/>
  <c r="G14" i="6"/>
  <c r="DP16" i="1"/>
  <c r="X16" i="1"/>
  <c r="AD16" i="1"/>
  <c r="Y16" i="1"/>
  <c r="AE16" i="1"/>
  <c r="I68" i="6"/>
  <c r="DU74" i="1"/>
  <c r="I15" i="6"/>
  <c r="DU17" i="1"/>
  <c r="I3" i="6"/>
  <c r="DU5" i="1"/>
  <c r="I84" i="6"/>
  <c r="DU90" i="1"/>
  <c r="I36" i="6"/>
  <c r="DU40" i="1"/>
  <c r="I86" i="6"/>
  <c r="DU92" i="1"/>
  <c r="I57" i="6"/>
  <c r="DU62" i="1"/>
  <c r="I21" i="6"/>
  <c r="DU24" i="1"/>
  <c r="I76" i="6"/>
  <c r="DU82" i="1"/>
  <c r="I12" i="6"/>
  <c r="DU14" i="1"/>
  <c r="I56" i="6"/>
  <c r="DU61" i="1"/>
  <c r="I20" i="6"/>
  <c r="DU22" i="1"/>
  <c r="I13" i="6"/>
  <c r="DU15" i="1"/>
  <c r="I29" i="6"/>
  <c r="DU32" i="1"/>
  <c r="I30" i="6"/>
  <c r="DU33" i="1"/>
  <c r="I22" i="6"/>
  <c r="DU25" i="1"/>
  <c r="I23" i="6"/>
  <c r="DU26" i="1"/>
  <c r="I74" i="6"/>
  <c r="DU80" i="1"/>
  <c r="I45" i="6"/>
  <c r="DU49" i="1"/>
  <c r="I85" i="6"/>
  <c r="DU91" i="1"/>
  <c r="I32" i="6"/>
  <c r="DU35" i="1"/>
  <c r="I16" i="6"/>
  <c r="DU18" i="1"/>
  <c r="I18" i="6"/>
  <c r="DU20" i="1"/>
  <c r="I35" i="6"/>
  <c r="DU39" i="1"/>
  <c r="I70" i="6"/>
  <c r="DU76" i="1"/>
  <c r="I60" i="6"/>
  <c r="DU65" i="1"/>
  <c r="I51" i="6"/>
  <c r="DU55" i="1"/>
  <c r="I65" i="6"/>
  <c r="DU70" i="1"/>
  <c r="I42" i="6"/>
  <c r="DU46" i="1"/>
  <c r="I52" i="6"/>
  <c r="DU56" i="1"/>
  <c r="I44" i="6"/>
  <c r="DU48" i="1"/>
  <c r="I4" i="6"/>
  <c r="DU6" i="1"/>
  <c r="I33" i="6"/>
  <c r="DU37" i="1"/>
  <c r="I63" i="6"/>
  <c r="DU68" i="1"/>
  <c r="I6" i="6"/>
  <c r="DU8" i="1"/>
  <c r="I39" i="6"/>
  <c r="DU43" i="1"/>
  <c r="I10" i="6"/>
  <c r="DU12" i="1"/>
  <c r="I34" i="6"/>
  <c r="DU38" i="1"/>
  <c r="I49" i="6"/>
  <c r="DU53" i="1"/>
  <c r="I50" i="6"/>
  <c r="DU54" i="1"/>
  <c r="I41" i="6"/>
  <c r="DU45" i="1"/>
  <c r="I53" i="6"/>
  <c r="DU57" i="1"/>
  <c r="I25" i="6"/>
  <c r="DU28" i="1"/>
  <c r="I62" i="6"/>
  <c r="DU67" i="1"/>
  <c r="I26" i="6"/>
  <c r="DU29" i="1"/>
  <c r="I43" i="6"/>
  <c r="DU47" i="1"/>
  <c r="I80" i="6"/>
  <c r="DU86" i="1"/>
  <c r="I83" i="6"/>
  <c r="DU89" i="1"/>
  <c r="I9" i="6"/>
  <c r="DU11" i="1"/>
  <c r="I59" i="6"/>
  <c r="DU64" i="1"/>
  <c r="I24" i="6"/>
  <c r="DU27" i="1"/>
  <c r="I79" i="6"/>
  <c r="DU85" i="1"/>
  <c r="I81" i="6"/>
  <c r="DU87" i="1"/>
  <c r="I17" i="6"/>
  <c r="DU19" i="1"/>
  <c r="I72" i="6"/>
  <c r="DU78" i="1"/>
  <c r="I87" i="6"/>
  <c r="DU93" i="1"/>
  <c r="I61" i="6"/>
  <c r="DU66" i="1"/>
  <c r="I28" i="6"/>
  <c r="DU31" i="1"/>
  <c r="I67" i="6"/>
  <c r="DU73" i="1"/>
  <c r="I40" i="6"/>
  <c r="DU44" i="1"/>
  <c r="AA66" i="1"/>
  <c r="D59" i="13" s="1"/>
  <c r="CC98" i="2"/>
  <c r="AA38" i="1"/>
  <c r="AA78" i="1"/>
  <c r="AA46" i="1"/>
  <c r="AA37" i="1"/>
  <c r="AA17" i="1"/>
  <c r="AA33" i="1"/>
  <c r="AA49" i="1"/>
  <c r="AA51" i="1"/>
  <c r="AA85" i="1"/>
  <c r="P22" i="7"/>
  <c r="C57" i="7"/>
  <c r="C71" i="7"/>
  <c r="P21" i="7"/>
  <c r="C19" i="7"/>
  <c r="P28" i="7"/>
  <c r="AA67" i="1"/>
  <c r="D49" i="13" s="1"/>
  <c r="AA32" i="1"/>
  <c r="AA13" i="1"/>
  <c r="Q45" i="13" s="1"/>
  <c r="AB4" i="1"/>
  <c r="K13" i="7" s="1"/>
  <c r="H2" i="6"/>
  <c r="AA80" i="1"/>
  <c r="H74" i="6"/>
  <c r="AA79" i="1"/>
  <c r="H73" i="6"/>
  <c r="AA5" i="1"/>
  <c r="D64" i="13" s="1"/>
  <c r="H3" i="6"/>
  <c r="AA83" i="1"/>
  <c r="Q87" i="13" s="1"/>
  <c r="H77" i="6"/>
  <c r="AA88" i="1"/>
  <c r="D26" i="13" s="1"/>
  <c r="H82" i="6"/>
  <c r="AA48" i="1"/>
  <c r="D10" i="13" s="1"/>
  <c r="H44" i="6"/>
  <c r="AA26" i="1"/>
  <c r="D40" i="13" s="1"/>
  <c r="H23" i="6"/>
  <c r="AA62" i="1"/>
  <c r="H57" i="6"/>
  <c r="AA91" i="1"/>
  <c r="D14" i="13" s="1"/>
  <c r="H85" i="6"/>
  <c r="AA77" i="1"/>
  <c r="D70" i="13" s="1"/>
  <c r="H71" i="6"/>
  <c r="AA31" i="1"/>
  <c r="D52" i="13" s="1"/>
  <c r="H28" i="6"/>
  <c r="AA45" i="1"/>
  <c r="D60" i="13" s="1"/>
  <c r="H41" i="6"/>
  <c r="AA28" i="1"/>
  <c r="H25" i="6"/>
  <c r="AA56" i="1"/>
  <c r="H52" i="6"/>
  <c r="AA9" i="1"/>
  <c r="Q66" i="13" s="1"/>
  <c r="H7" i="6"/>
  <c r="AA39" i="1"/>
  <c r="D58" i="13" s="1"/>
  <c r="H35" i="6"/>
  <c r="AA34" i="1"/>
  <c r="D46" i="13" s="1"/>
  <c r="H31" i="6"/>
  <c r="AA55" i="1"/>
  <c r="D72" i="13" s="1"/>
  <c r="H51" i="6"/>
  <c r="AA40" i="1"/>
  <c r="D33" i="13" s="1"/>
  <c r="H36" i="6"/>
  <c r="AA73" i="1"/>
  <c r="D74" i="13" s="1"/>
  <c r="H67" i="6"/>
  <c r="AA44" i="1"/>
  <c r="D41" i="13" s="1"/>
  <c r="H40" i="6"/>
  <c r="AA82" i="1"/>
  <c r="Q12" i="13" s="1"/>
  <c r="H76" i="6"/>
  <c r="AA19" i="1"/>
  <c r="D39" i="13" s="1"/>
  <c r="H17" i="6"/>
  <c r="AA12" i="1"/>
  <c r="H10" i="6"/>
  <c r="AA90" i="1"/>
  <c r="D24" i="13" s="1"/>
  <c r="H84" i="6"/>
  <c r="AA54" i="1"/>
  <c r="D53" i="13" s="1"/>
  <c r="H50" i="6"/>
  <c r="AA75" i="1"/>
  <c r="D65" i="13" s="1"/>
  <c r="H69" i="6"/>
  <c r="AA58" i="1"/>
  <c r="D31" i="13" s="1"/>
  <c r="H54" i="6"/>
  <c r="AA47" i="1"/>
  <c r="D3" i="13" s="1"/>
  <c r="H43" i="6"/>
  <c r="AA50" i="1"/>
  <c r="D4" i="13" s="1"/>
  <c r="H46" i="6"/>
  <c r="AA8" i="1"/>
  <c r="Q22" i="13" s="1"/>
  <c r="H6" i="6"/>
  <c r="AA35" i="1"/>
  <c r="D47" i="13" s="1"/>
  <c r="H32" i="6"/>
  <c r="AA41" i="1"/>
  <c r="D63" i="13" s="1"/>
  <c r="H37" i="6"/>
  <c r="AA18" i="1"/>
  <c r="D25" i="13" s="1"/>
  <c r="H16" i="6"/>
  <c r="AA22" i="1"/>
  <c r="D28" i="13" s="1"/>
  <c r="H20" i="6"/>
  <c r="AA11" i="1"/>
  <c r="D34" i="13" s="1"/>
  <c r="H9" i="6"/>
  <c r="AA74" i="1"/>
  <c r="D30" i="13" s="1"/>
  <c r="H68" i="6"/>
  <c r="AA53" i="1"/>
  <c r="D2" i="13" s="1"/>
  <c r="H49" i="6"/>
  <c r="AA42" i="1"/>
  <c r="D57" i="13" s="1"/>
  <c r="H38" i="6"/>
  <c r="AA65" i="1"/>
  <c r="D50" i="13" s="1"/>
  <c r="H60" i="6"/>
  <c r="AA70" i="1"/>
  <c r="Q86" i="13" s="1"/>
  <c r="H65" i="6"/>
  <c r="AA89" i="1"/>
  <c r="D19" i="13" s="1"/>
  <c r="AA14" i="1"/>
  <c r="H12" i="6"/>
  <c r="AA64" i="1"/>
  <c r="H59" i="6"/>
  <c r="AA20" i="1"/>
  <c r="D21" i="13" s="1"/>
  <c r="H18" i="6"/>
  <c r="AA93" i="1"/>
  <c r="Q78" i="13" s="1"/>
  <c r="H87" i="6"/>
  <c r="AB6" i="1"/>
  <c r="D4" i="7" s="1"/>
  <c r="H4" i="6"/>
  <c r="AA25" i="1"/>
  <c r="D15" i="13" s="1"/>
  <c r="H22" i="6"/>
  <c r="AA57" i="1"/>
  <c r="D62" i="13" s="1"/>
  <c r="H53" i="6"/>
  <c r="AA86" i="1"/>
  <c r="D69" i="13" s="1"/>
  <c r="H80" i="6"/>
  <c r="AA6" i="1"/>
  <c r="D29" i="13" s="1"/>
  <c r="AA69" i="1"/>
  <c r="Q44" i="13" s="1"/>
  <c r="AA24" i="1"/>
  <c r="D48" i="13" s="1"/>
  <c r="AA29" i="1"/>
  <c r="Q85" i="13" s="1"/>
  <c r="AA43" i="1"/>
  <c r="D43" i="13" s="1"/>
  <c r="AA61" i="1"/>
  <c r="Q67" i="13" s="1"/>
  <c r="AA68" i="1"/>
  <c r="D55" i="13" s="1"/>
  <c r="AA21" i="1"/>
  <c r="D35" i="13" s="1"/>
  <c r="AA15" i="1"/>
  <c r="Q7" i="13" s="1"/>
  <c r="AA87" i="1"/>
  <c r="D16" i="13" s="1"/>
  <c r="AA52" i="1"/>
  <c r="D75" i="13" s="1"/>
  <c r="BS38" i="1"/>
  <c r="AA72" i="1"/>
  <c r="AA60" i="1"/>
  <c r="Q37" i="13" s="1"/>
  <c r="AA4" i="1"/>
  <c r="D73" i="13" s="1"/>
  <c r="BS76" i="1"/>
  <c r="BS27" i="1"/>
  <c r="BS92" i="1"/>
  <c r="U14" i="4"/>
  <c r="T14" i="4"/>
  <c r="Z14" i="4"/>
  <c r="AA14" i="4"/>
  <c r="AO14" i="4"/>
  <c r="AI14" i="4"/>
  <c r="S14" i="4"/>
  <c r="AL14" i="4"/>
  <c r="AM14" i="4"/>
  <c r="AE14" i="4"/>
  <c r="AC14" i="4"/>
  <c r="AG14" i="4"/>
  <c r="AD14" i="4"/>
  <c r="AB14" i="4"/>
  <c r="AN14" i="4"/>
  <c r="AK14" i="4"/>
  <c r="V14" i="4"/>
  <c r="Y14" i="4"/>
  <c r="AJ14" i="4"/>
  <c r="AH14" i="4"/>
  <c r="X14" i="4"/>
  <c r="W14" i="4"/>
  <c r="AF14" i="4"/>
  <c r="N15" i="4"/>
  <c r="O15" i="4"/>
  <c r="P15" i="4" s="1"/>
  <c r="Q13" i="4"/>
  <c r="H17" i="4"/>
  <c r="I16" i="4"/>
  <c r="G17" i="4"/>
  <c r="F18" i="4"/>
  <c r="AY39" i="2"/>
  <c r="AX39" i="2"/>
  <c r="CC49" i="2"/>
  <c r="AY42" i="2"/>
  <c r="AX42" i="2"/>
  <c r="CC96" i="2"/>
  <c r="AY31" i="2"/>
  <c r="AX31" i="2"/>
  <c r="BC44" i="2"/>
  <c r="BB44" i="2"/>
  <c r="AY61" i="2"/>
  <c r="AX61" i="2"/>
  <c r="AY43" i="2"/>
  <c r="AX43" i="2"/>
  <c r="AY19" i="2"/>
  <c r="AX19" i="2"/>
  <c r="AX8" i="2"/>
  <c r="AY8" i="2"/>
  <c r="BC48" i="2"/>
  <c r="BB48" i="2"/>
  <c r="AY18" i="2"/>
  <c r="AX18" i="2"/>
  <c r="AX49" i="2"/>
  <c r="AY49" i="2"/>
  <c r="AY47" i="2"/>
  <c r="AX47" i="2"/>
  <c r="H35" i="12" l="1"/>
  <c r="ED38" i="1"/>
  <c r="H25" i="12"/>
  <c r="ED27" i="1"/>
  <c r="I14" i="6"/>
  <c r="DU16" i="1"/>
  <c r="H87" i="12"/>
  <c r="ED92" i="1"/>
  <c r="H71" i="12"/>
  <c r="ED76" i="1"/>
  <c r="AA16" i="1"/>
  <c r="H14" i="6"/>
  <c r="C50" i="7"/>
  <c r="P50" i="7"/>
  <c r="BS66" i="1"/>
  <c r="P17" i="7"/>
  <c r="D20" i="13"/>
  <c r="C25" i="7"/>
  <c r="D42" i="13"/>
  <c r="C10" i="7"/>
  <c r="D8" i="13"/>
  <c r="BS51" i="1"/>
  <c r="D5" i="13"/>
  <c r="BS56" i="1"/>
  <c r="D61" i="13"/>
  <c r="BS62" i="1"/>
  <c r="Q77" i="13"/>
  <c r="BS79" i="1"/>
  <c r="CK79" i="1" s="1"/>
  <c r="D75" i="14" s="1"/>
  <c r="Q36" i="13"/>
  <c r="BS37" i="1"/>
  <c r="D11" i="13"/>
  <c r="BS64" i="1"/>
  <c r="D71" i="13"/>
  <c r="C37" i="7"/>
  <c r="D51" i="13"/>
  <c r="D32" i="13"/>
  <c r="Q32" i="13"/>
  <c r="BS80" i="1"/>
  <c r="Q23" i="13"/>
  <c r="P10" i="7"/>
  <c r="D27" i="13"/>
  <c r="BS14" i="1"/>
  <c r="Q76" i="13"/>
  <c r="P47" i="7"/>
  <c r="D54" i="13"/>
  <c r="BS12" i="1"/>
  <c r="D13" i="13"/>
  <c r="BS32" i="1"/>
  <c r="D56" i="13"/>
  <c r="C65" i="7"/>
  <c r="D6" i="13"/>
  <c r="CJ92" i="1"/>
  <c r="C88" i="14" s="1"/>
  <c r="CK92" i="1"/>
  <c r="D88" i="14" s="1"/>
  <c r="CK27" i="1"/>
  <c r="D26" i="14" s="1"/>
  <c r="CJ27" i="1"/>
  <c r="C26" i="14" s="1"/>
  <c r="CK38" i="1"/>
  <c r="D36" i="14" s="1"/>
  <c r="CJ38" i="1"/>
  <c r="C36" i="14" s="1"/>
  <c r="CK76" i="1"/>
  <c r="D72" i="14" s="1"/>
  <c r="CJ76" i="1"/>
  <c r="C72" i="14" s="1"/>
  <c r="BS49" i="1"/>
  <c r="C29" i="7"/>
  <c r="BS85" i="1"/>
  <c r="P4" i="7"/>
  <c r="BS46" i="1"/>
  <c r="P64" i="7"/>
  <c r="BS78" i="1"/>
  <c r="C58" i="7"/>
  <c r="C40" i="7"/>
  <c r="C28" i="7"/>
  <c r="P9" i="7"/>
  <c r="C42" i="7"/>
  <c r="P11" i="7"/>
  <c r="P16" i="7"/>
  <c r="BS17" i="1"/>
  <c r="BS33" i="1"/>
  <c r="P90" i="7"/>
  <c r="BS52" i="1"/>
  <c r="J18" i="7"/>
  <c r="P43" i="7"/>
  <c r="P36" i="7"/>
  <c r="J19" i="7"/>
  <c r="P12" i="7"/>
  <c r="J23" i="7"/>
  <c r="C20" i="7"/>
  <c r="P49" i="7"/>
  <c r="C18" i="7"/>
  <c r="P70" i="7"/>
  <c r="P42" i="7"/>
  <c r="C61" i="7"/>
  <c r="BS15" i="1"/>
  <c r="C9" i="7"/>
  <c r="P18" i="7"/>
  <c r="C31" i="7"/>
  <c r="P68" i="7"/>
  <c r="C68" i="7"/>
  <c r="P62" i="7"/>
  <c r="BS45" i="1"/>
  <c r="C36" i="7"/>
  <c r="P80" i="7"/>
  <c r="BS48" i="1"/>
  <c r="P13" i="7"/>
  <c r="C39" i="7"/>
  <c r="P88" i="7"/>
  <c r="C52" i="7"/>
  <c r="BS25" i="1"/>
  <c r="P57" i="7"/>
  <c r="C17" i="7"/>
  <c r="BS13" i="1"/>
  <c r="C8" i="7"/>
  <c r="P78" i="7"/>
  <c r="BS87" i="1"/>
  <c r="C66" i="7"/>
  <c r="P6" i="7"/>
  <c r="P67" i="7"/>
  <c r="C14" i="7"/>
  <c r="BS11" i="1"/>
  <c r="C6" i="7"/>
  <c r="P72" i="7"/>
  <c r="P91" i="7"/>
  <c r="J13" i="7"/>
  <c r="BS61" i="1"/>
  <c r="P61" i="7"/>
  <c r="J16" i="7"/>
  <c r="BS70" i="1"/>
  <c r="C55" i="7"/>
  <c r="P56" i="7"/>
  <c r="BS22" i="1"/>
  <c r="P31" i="7"/>
  <c r="C15" i="7"/>
  <c r="BS47" i="1"/>
  <c r="P20" i="7"/>
  <c r="C38" i="7"/>
  <c r="BS19" i="1"/>
  <c r="C12" i="7"/>
  <c r="P15" i="7"/>
  <c r="BS34" i="1"/>
  <c r="P76" i="7"/>
  <c r="C26" i="7"/>
  <c r="BS31" i="1"/>
  <c r="C23" i="7"/>
  <c r="P86" i="7"/>
  <c r="BS88" i="1"/>
  <c r="C67" i="7"/>
  <c r="P48" i="7"/>
  <c r="C24" i="7"/>
  <c r="P84" i="7"/>
  <c r="BS90" i="1"/>
  <c r="C69" i="7"/>
  <c r="P5" i="7"/>
  <c r="C46" i="7"/>
  <c r="P77" i="7"/>
  <c r="BS67" i="1"/>
  <c r="P83" i="7"/>
  <c r="C51" i="7"/>
  <c r="BS8" i="1"/>
  <c r="P41" i="7"/>
  <c r="C5" i="7"/>
  <c r="J15" i="7"/>
  <c r="P69" i="7"/>
  <c r="BS50" i="1"/>
  <c r="P14" i="7"/>
  <c r="C41" i="7"/>
  <c r="BS29" i="1"/>
  <c r="C22" i="7"/>
  <c r="P34" i="7"/>
  <c r="BS18" i="1"/>
  <c r="C11" i="7"/>
  <c r="P46" i="7"/>
  <c r="BS58" i="1"/>
  <c r="C47" i="7"/>
  <c r="P38" i="7"/>
  <c r="BS82" i="1"/>
  <c r="P45" i="7"/>
  <c r="C62" i="7"/>
  <c r="BS39" i="1"/>
  <c r="C30" i="7"/>
  <c r="P82" i="7"/>
  <c r="BS77" i="1"/>
  <c r="P54" i="7"/>
  <c r="J11" i="7"/>
  <c r="BS83" i="1"/>
  <c r="P35" i="7"/>
  <c r="C64" i="7"/>
  <c r="C16" i="7"/>
  <c r="BS93" i="1"/>
  <c r="P89" i="7"/>
  <c r="J7" i="7"/>
  <c r="P19" i="7"/>
  <c r="C48" i="7"/>
  <c r="BS40" i="1"/>
  <c r="BS26" i="1"/>
  <c r="BS69" i="1"/>
  <c r="P44" i="7"/>
  <c r="C53" i="7"/>
  <c r="BS42" i="1"/>
  <c r="C33" i="7"/>
  <c r="P79" i="7"/>
  <c r="BS41" i="1"/>
  <c r="C32" i="7"/>
  <c r="P75" i="7"/>
  <c r="BS75" i="1"/>
  <c r="P33" i="7"/>
  <c r="J22" i="7"/>
  <c r="BS44" i="1"/>
  <c r="C35" i="7"/>
  <c r="P81" i="7"/>
  <c r="BS9" i="1"/>
  <c r="P24" i="7"/>
  <c r="J12" i="7"/>
  <c r="BS91" i="1"/>
  <c r="C70" i="7"/>
  <c r="P40" i="7"/>
  <c r="BS5" i="1"/>
  <c r="P73" i="7"/>
  <c r="J9" i="7"/>
  <c r="BS74" i="1"/>
  <c r="P7" i="7"/>
  <c r="C56" i="7"/>
  <c r="BS89" i="1"/>
  <c r="C7" i="7"/>
  <c r="P26" i="7"/>
  <c r="BS28" i="1"/>
  <c r="BS65" i="1"/>
  <c r="P55" i="7"/>
  <c r="C49" i="7"/>
  <c r="BS86" i="1"/>
  <c r="BS6" i="1"/>
  <c r="P65" i="7"/>
  <c r="C4" i="7"/>
  <c r="BS20" i="1"/>
  <c r="C13" i="7"/>
  <c r="P30" i="7"/>
  <c r="J21" i="7"/>
  <c r="P32" i="7"/>
  <c r="BS43" i="1"/>
  <c r="C34" i="7"/>
  <c r="P53" i="7"/>
  <c r="BS55" i="1"/>
  <c r="BS57" i="1"/>
  <c r="BS53" i="1"/>
  <c r="C43" i="7"/>
  <c r="P25" i="7"/>
  <c r="BS35" i="1"/>
  <c r="P58" i="7"/>
  <c r="C27" i="7"/>
  <c r="BS54" i="1"/>
  <c r="C44" i="7"/>
  <c r="P74" i="7"/>
  <c r="BS73" i="1"/>
  <c r="P60" i="7"/>
  <c r="J4" i="7"/>
  <c r="C45" i="7"/>
  <c r="P85" i="7"/>
  <c r="P87" i="7"/>
  <c r="J20" i="7"/>
  <c r="P71" i="7"/>
  <c r="C59" i="7"/>
  <c r="AC4" i="1"/>
  <c r="H73" i="13" s="1"/>
  <c r="AC6" i="1"/>
  <c r="H29" i="13" s="1"/>
  <c r="BS24" i="1"/>
  <c r="BS21" i="1"/>
  <c r="BS68" i="1"/>
  <c r="BS4" i="1"/>
  <c r="BS72" i="1"/>
  <c r="ED72" i="1" s="1"/>
  <c r="BS60" i="1"/>
  <c r="AI15" i="4"/>
  <c r="AO15" i="4"/>
  <c r="AM15" i="4"/>
  <c r="AE15" i="4"/>
  <c r="W15" i="4"/>
  <c r="X15" i="4"/>
  <c r="AJ15" i="4"/>
  <c r="V15" i="4"/>
  <c r="AN15" i="4"/>
  <c r="Z15" i="4"/>
  <c r="AH15" i="4"/>
  <c r="AC15" i="4"/>
  <c r="AK15" i="4"/>
  <c r="AD15" i="4"/>
  <c r="S15" i="4"/>
  <c r="U15" i="4"/>
  <c r="AF15" i="4"/>
  <c r="AG15" i="4"/>
  <c r="T15" i="4"/>
  <c r="AL15" i="4"/>
  <c r="AA15" i="4"/>
  <c r="AB15" i="4"/>
  <c r="Y15" i="4"/>
  <c r="Q14" i="4"/>
  <c r="H18" i="4"/>
  <c r="I17" i="4"/>
  <c r="O16" i="4"/>
  <c r="P16" i="4" s="1"/>
  <c r="N16" i="4"/>
  <c r="F19" i="4"/>
  <c r="G18" i="4"/>
  <c r="BA47" i="2"/>
  <c r="AZ47" i="2"/>
  <c r="BA43" i="2"/>
  <c r="AZ43" i="2"/>
  <c r="BA39" i="2"/>
  <c r="AZ39" i="2"/>
  <c r="BA49" i="2"/>
  <c r="AZ49" i="2"/>
  <c r="BA61" i="2"/>
  <c r="AZ61" i="2"/>
  <c r="BA18" i="2"/>
  <c r="AZ18" i="2"/>
  <c r="BE44" i="2"/>
  <c r="BD44" i="2"/>
  <c r="BE48" i="2"/>
  <c r="BD48" i="2"/>
  <c r="BA31" i="2"/>
  <c r="AZ31" i="2"/>
  <c r="BA8" i="2"/>
  <c r="AZ8" i="2"/>
  <c r="BA42" i="2"/>
  <c r="AZ42" i="2"/>
  <c r="BA19" i="2"/>
  <c r="AZ19" i="2"/>
  <c r="CJ79" i="1" l="1"/>
  <c r="C75" i="14" s="1"/>
  <c r="H22" i="12"/>
  <c r="ED24" i="1"/>
  <c r="H63" i="12"/>
  <c r="ED67" i="1"/>
  <c r="H10" i="12"/>
  <c r="ED11" i="1"/>
  <c r="H30" i="12"/>
  <c r="ED32" i="1"/>
  <c r="H53" i="12"/>
  <c r="ED56" i="1"/>
  <c r="D89" i="13"/>
  <c r="BS16" i="1"/>
  <c r="Q89" i="13"/>
  <c r="J14" i="7"/>
  <c r="P66" i="7"/>
  <c r="H27" i="12"/>
  <c r="ED29" i="1"/>
  <c r="H51" i="12"/>
  <c r="ED54" i="1"/>
  <c r="H14" i="12"/>
  <c r="ED15" i="1"/>
  <c r="H73" i="12"/>
  <c r="ED78" i="1"/>
  <c r="H11" i="12"/>
  <c r="ED12" i="1"/>
  <c r="H48" i="12"/>
  <c r="ED51" i="1"/>
  <c r="H26" i="12"/>
  <c r="ED28" i="1"/>
  <c r="H49" i="12"/>
  <c r="ED52" i="1"/>
  <c r="H86" i="12"/>
  <c r="ED91" i="1"/>
  <c r="H88" i="12"/>
  <c r="ED93" i="1"/>
  <c r="H77" i="12"/>
  <c r="ED82" i="1"/>
  <c r="H47" i="12"/>
  <c r="ED50" i="1"/>
  <c r="H32" i="12"/>
  <c r="ED34" i="1"/>
  <c r="H66" i="12"/>
  <c r="ED70" i="1"/>
  <c r="H45" i="12"/>
  <c r="ED48" i="1"/>
  <c r="H43" i="12"/>
  <c r="ED46" i="1"/>
  <c r="H60" i="12"/>
  <c r="ED64" i="1"/>
  <c r="H38" i="12"/>
  <c r="ED41" i="1"/>
  <c r="H33" i="12"/>
  <c r="ED35" i="1"/>
  <c r="H84" i="12"/>
  <c r="ED89" i="1"/>
  <c r="H8" i="12"/>
  <c r="ED9" i="1"/>
  <c r="H39" i="12"/>
  <c r="ED42" i="1"/>
  <c r="H85" i="12"/>
  <c r="ED90" i="1"/>
  <c r="H82" i="12"/>
  <c r="ED87" i="1"/>
  <c r="H31" i="12"/>
  <c r="ED33" i="1"/>
  <c r="H19" i="12"/>
  <c r="ED20" i="1"/>
  <c r="H16" i="12"/>
  <c r="ED17" i="1"/>
  <c r="H80" i="12"/>
  <c r="ED85" i="1"/>
  <c r="H13" i="12"/>
  <c r="ED14" i="1"/>
  <c r="H34" i="12"/>
  <c r="ED37" i="1"/>
  <c r="H21" i="12"/>
  <c r="ED22" i="1"/>
  <c r="H78" i="12"/>
  <c r="ED83" i="1"/>
  <c r="H55" i="12"/>
  <c r="ED58" i="1"/>
  <c r="H18" i="12"/>
  <c r="ED19" i="1"/>
  <c r="H57" i="12"/>
  <c r="ED61" i="1"/>
  <c r="H42" i="12"/>
  <c r="ED45" i="1"/>
  <c r="H61" i="12"/>
  <c r="ED65" i="1"/>
  <c r="H69" i="12"/>
  <c r="ED74" i="1"/>
  <c r="H41" i="12"/>
  <c r="ED44" i="1"/>
  <c r="H65" i="12"/>
  <c r="ED69" i="1"/>
  <c r="H12" i="12"/>
  <c r="ED13" i="1"/>
  <c r="H46" i="12"/>
  <c r="ED49" i="1"/>
  <c r="H74" i="12"/>
  <c r="ED79" i="1"/>
  <c r="H40" i="12"/>
  <c r="ED43" i="1"/>
  <c r="H29" i="12"/>
  <c r="ED31" i="1"/>
  <c r="H54" i="12"/>
  <c r="ED57" i="1"/>
  <c r="H24" i="12"/>
  <c r="ED26" i="1"/>
  <c r="H7" i="12"/>
  <c r="ED8" i="1"/>
  <c r="H62" i="12"/>
  <c r="ED66" i="1"/>
  <c r="H36" i="12"/>
  <c r="ED39" i="1"/>
  <c r="H5" i="12"/>
  <c r="ED6" i="1"/>
  <c r="H64" i="12"/>
  <c r="ED68" i="1"/>
  <c r="H52" i="12"/>
  <c r="ED55" i="1"/>
  <c r="H81" i="12"/>
  <c r="ED86" i="1"/>
  <c r="H37" i="12"/>
  <c r="ED40" i="1"/>
  <c r="H72" i="12"/>
  <c r="ED77" i="1"/>
  <c r="H17" i="12"/>
  <c r="ED18" i="1"/>
  <c r="H83" i="12"/>
  <c r="ED88" i="1"/>
  <c r="H44" i="12"/>
  <c r="ED47" i="1"/>
  <c r="H75" i="12"/>
  <c r="ED80" i="1"/>
  <c r="H58" i="12"/>
  <c r="ED62" i="1"/>
  <c r="H56" i="12"/>
  <c r="ED60" i="1"/>
  <c r="H50" i="12"/>
  <c r="ED53" i="1"/>
  <c r="H20" i="12"/>
  <c r="ED21" i="1"/>
  <c r="H68" i="12"/>
  <c r="ED73" i="1"/>
  <c r="H4" i="12"/>
  <c r="ED5" i="1"/>
  <c r="H70" i="12"/>
  <c r="ED75" i="1"/>
  <c r="H23" i="12"/>
  <c r="ED25" i="1"/>
  <c r="H3" i="12"/>
  <c r="ED4" i="1"/>
  <c r="CJ64" i="1"/>
  <c r="C61" i="14" s="1"/>
  <c r="CJ12" i="1"/>
  <c r="C12" i="14" s="1"/>
  <c r="CK37" i="1"/>
  <c r="D35" i="14" s="1"/>
  <c r="CK12" i="1"/>
  <c r="D12" i="14" s="1"/>
  <c r="CK64" i="1"/>
  <c r="D61" i="14" s="1"/>
  <c r="CK66" i="1"/>
  <c r="D63" i="14" s="1"/>
  <c r="CJ66" i="1"/>
  <c r="C63" i="14" s="1"/>
  <c r="CK80" i="1"/>
  <c r="D76" i="14" s="1"/>
  <c r="CJ62" i="1"/>
  <c r="C59" i="14" s="1"/>
  <c r="CK56" i="1"/>
  <c r="D54" i="14" s="1"/>
  <c r="CK51" i="1"/>
  <c r="D49" i="14" s="1"/>
  <c r="CJ80" i="1"/>
  <c r="C76" i="14" s="1"/>
  <c r="CK62" i="1"/>
  <c r="D59" i="14" s="1"/>
  <c r="CJ56" i="1"/>
  <c r="C54" i="14" s="1"/>
  <c r="CJ37" i="1"/>
  <c r="C35" i="14" s="1"/>
  <c r="CJ51" i="1"/>
  <c r="C49" i="14" s="1"/>
  <c r="CJ14" i="1"/>
  <c r="C14" i="14" s="1"/>
  <c r="CK14" i="1"/>
  <c r="D14" i="14" s="1"/>
  <c r="CK32" i="1"/>
  <c r="D31" i="14" s="1"/>
  <c r="CJ32" i="1"/>
  <c r="CK35" i="1"/>
  <c r="D34" i="14" s="1"/>
  <c r="CJ35" i="1"/>
  <c r="C34" i="14" s="1"/>
  <c r="CK89" i="1"/>
  <c r="D85" i="14" s="1"/>
  <c r="CJ89" i="1"/>
  <c r="C85" i="14" s="1"/>
  <c r="CK9" i="1"/>
  <c r="D9" i="14" s="1"/>
  <c r="CJ9" i="1"/>
  <c r="C9" i="14" s="1"/>
  <c r="CJ42" i="1"/>
  <c r="C40" i="14" s="1"/>
  <c r="CK42" i="1"/>
  <c r="D40" i="14" s="1"/>
  <c r="CJ82" i="1"/>
  <c r="C78" i="14" s="1"/>
  <c r="CK82" i="1"/>
  <c r="D78" i="14" s="1"/>
  <c r="CK50" i="1"/>
  <c r="D48" i="14" s="1"/>
  <c r="CJ50" i="1"/>
  <c r="C48" i="14" s="1"/>
  <c r="CK34" i="1"/>
  <c r="D33" i="14" s="1"/>
  <c r="CJ34" i="1"/>
  <c r="C33" i="14" s="1"/>
  <c r="CK70" i="1"/>
  <c r="D67" i="14" s="1"/>
  <c r="CJ70" i="1"/>
  <c r="C67" i="14" s="1"/>
  <c r="CJ48" i="1"/>
  <c r="C46" i="14" s="1"/>
  <c r="CK48" i="1"/>
  <c r="D46" i="14" s="1"/>
  <c r="CJ46" i="1"/>
  <c r="C44" i="14" s="1"/>
  <c r="CK46" i="1"/>
  <c r="D44" i="14" s="1"/>
  <c r="CK87" i="1"/>
  <c r="D83" i="14" s="1"/>
  <c r="CJ87" i="1"/>
  <c r="C83" i="14" s="1"/>
  <c r="CK33" i="1"/>
  <c r="D32" i="14" s="1"/>
  <c r="CJ33" i="1"/>
  <c r="C32" i="14" s="1"/>
  <c r="CJ20" i="1"/>
  <c r="C20" i="14" s="1"/>
  <c r="CK20" i="1"/>
  <c r="D20" i="14" s="1"/>
  <c r="CJ90" i="1"/>
  <c r="C86" i="14" s="1"/>
  <c r="CK90" i="1"/>
  <c r="D86" i="14" s="1"/>
  <c r="CK60" i="1"/>
  <c r="D57" i="14" s="1"/>
  <c r="CJ60" i="1"/>
  <c r="C57" i="14" s="1"/>
  <c r="CK17" i="1"/>
  <c r="D17" i="14" s="1"/>
  <c r="CJ17" i="1"/>
  <c r="C17" i="14" s="1"/>
  <c r="CK49" i="1"/>
  <c r="D47" i="14" s="1"/>
  <c r="CJ49" i="1"/>
  <c r="C47" i="14" s="1"/>
  <c r="CK61" i="1"/>
  <c r="D58" i="14" s="1"/>
  <c r="CJ61" i="1"/>
  <c r="C58" i="14" s="1"/>
  <c r="CJ45" i="1"/>
  <c r="CK45" i="1"/>
  <c r="D43" i="14" s="1"/>
  <c r="CJ19" i="1"/>
  <c r="C19" i="14" s="1"/>
  <c r="CK19" i="1"/>
  <c r="D19" i="14" s="1"/>
  <c r="CK4" i="1"/>
  <c r="CJ4" i="1"/>
  <c r="C4" i="14" s="1"/>
  <c r="CK57" i="1"/>
  <c r="D55" i="14" s="1"/>
  <c r="CJ57" i="1"/>
  <c r="C55" i="14" s="1"/>
  <c r="CJ6" i="1"/>
  <c r="C6" i="14" s="1"/>
  <c r="CK6" i="1"/>
  <c r="D6" i="14" s="1"/>
  <c r="CK26" i="1"/>
  <c r="D25" i="14" s="1"/>
  <c r="CJ26" i="1"/>
  <c r="C25" i="14" s="1"/>
  <c r="CK13" i="1"/>
  <c r="D13" i="14" s="1"/>
  <c r="CJ13" i="1"/>
  <c r="CJ52" i="1"/>
  <c r="CK52" i="1"/>
  <c r="D50" i="14" s="1"/>
  <c r="CK69" i="1"/>
  <c r="D66" i="14" s="1"/>
  <c r="CJ69" i="1"/>
  <c r="C66" i="14" s="1"/>
  <c r="CJ8" i="1"/>
  <c r="C8" i="14" s="1"/>
  <c r="CK8" i="1"/>
  <c r="D8" i="14" s="1"/>
  <c r="CK21" i="1"/>
  <c r="D21" i="14" s="1"/>
  <c r="CJ21" i="1"/>
  <c r="C21" i="14" s="1"/>
  <c r="CK73" i="1"/>
  <c r="D69" i="14" s="1"/>
  <c r="CJ73" i="1"/>
  <c r="C69" i="14" s="1"/>
  <c r="CJ5" i="1"/>
  <c r="C5" i="14" s="1"/>
  <c r="CK5" i="1"/>
  <c r="D5" i="14" s="1"/>
  <c r="CK75" i="1"/>
  <c r="D71" i="14" s="1"/>
  <c r="CJ75" i="1"/>
  <c r="C71" i="14" s="1"/>
  <c r="CK77" i="1"/>
  <c r="D73" i="14" s="1"/>
  <c r="CJ77" i="1"/>
  <c r="C73" i="14" s="1"/>
  <c r="CJ18" i="1"/>
  <c r="C18" i="14" s="1"/>
  <c r="CK18" i="1"/>
  <c r="D18" i="14" s="1"/>
  <c r="CK88" i="1"/>
  <c r="D84" i="14" s="1"/>
  <c r="CJ88" i="1"/>
  <c r="C84" i="14" s="1"/>
  <c r="CJ47" i="1"/>
  <c r="C45" i="14" s="1"/>
  <c r="CK47" i="1"/>
  <c r="D45" i="14" s="1"/>
  <c r="CJ72" i="1"/>
  <c r="CK72" i="1"/>
  <c r="CK53" i="1"/>
  <c r="D51" i="14" s="1"/>
  <c r="CJ53" i="1"/>
  <c r="C51" i="14" s="1"/>
  <c r="CK74" i="1"/>
  <c r="D70" i="14" s="1"/>
  <c r="CJ74" i="1"/>
  <c r="C70" i="14" s="1"/>
  <c r="CJ44" i="1"/>
  <c r="C42" i="14" s="1"/>
  <c r="CK44" i="1"/>
  <c r="D42" i="14" s="1"/>
  <c r="CJ55" i="1"/>
  <c r="C53" i="14" s="1"/>
  <c r="CK55" i="1"/>
  <c r="D53" i="14" s="1"/>
  <c r="CK25" i="1"/>
  <c r="D24" i="14" s="1"/>
  <c r="CJ25" i="1"/>
  <c r="C24" i="14" s="1"/>
  <c r="CK43" i="1"/>
  <c r="D41" i="14" s="1"/>
  <c r="CJ43" i="1"/>
  <c r="C41" i="14" s="1"/>
  <c r="CK65" i="1"/>
  <c r="D62" i="14" s="1"/>
  <c r="CJ65" i="1"/>
  <c r="C62" i="14" s="1"/>
  <c r="CJ67" i="1"/>
  <c r="C64" i="14" s="1"/>
  <c r="CK67" i="1"/>
  <c r="D64" i="14" s="1"/>
  <c r="CK11" i="1"/>
  <c r="D11" i="14" s="1"/>
  <c r="CJ11" i="1"/>
  <c r="C11" i="14" s="1"/>
  <c r="CJ83" i="1"/>
  <c r="C79" i="14" s="1"/>
  <c r="CK83" i="1"/>
  <c r="D79" i="14" s="1"/>
  <c r="CJ58" i="1"/>
  <c r="C56" i="14" s="1"/>
  <c r="CK58" i="1"/>
  <c r="D56" i="14" s="1"/>
  <c r="CK86" i="1"/>
  <c r="D82" i="14" s="1"/>
  <c r="CJ86" i="1"/>
  <c r="C82" i="14" s="1"/>
  <c r="CJ54" i="1"/>
  <c r="C52" i="14" s="1"/>
  <c r="CK54" i="1"/>
  <c r="D52" i="14" s="1"/>
  <c r="CK28" i="1"/>
  <c r="D27" i="14" s="1"/>
  <c r="CJ28" i="1"/>
  <c r="C27" i="14" s="1"/>
  <c r="CK91" i="1"/>
  <c r="D87" i="14" s="1"/>
  <c r="CJ91" i="1"/>
  <c r="C87" i="14" s="1"/>
  <c r="CK41" i="1"/>
  <c r="D39" i="14" s="1"/>
  <c r="CJ41" i="1"/>
  <c r="C39" i="14" s="1"/>
  <c r="CJ39" i="1"/>
  <c r="C37" i="14" s="1"/>
  <c r="CK39" i="1"/>
  <c r="D37" i="14" s="1"/>
  <c r="CK29" i="1"/>
  <c r="D28" i="14" s="1"/>
  <c r="CJ29" i="1"/>
  <c r="C28" i="14" s="1"/>
  <c r="CJ31" i="1"/>
  <c r="C30" i="14" s="1"/>
  <c r="CK31" i="1"/>
  <c r="D30" i="14" s="1"/>
  <c r="CJ22" i="1"/>
  <c r="C22" i="14" s="1"/>
  <c r="CK22" i="1"/>
  <c r="D22" i="14" s="1"/>
  <c r="CK85" i="1"/>
  <c r="D81" i="14" s="1"/>
  <c r="CJ85" i="1"/>
  <c r="C81" i="14" s="1"/>
  <c r="CJ68" i="1"/>
  <c r="C65" i="14" s="1"/>
  <c r="CK68" i="1"/>
  <c r="D65" i="14" s="1"/>
  <c r="CK40" i="1"/>
  <c r="D38" i="14" s="1"/>
  <c r="CJ40" i="1"/>
  <c r="C38" i="14" s="1"/>
  <c r="CK24" i="1"/>
  <c r="D23" i="14" s="1"/>
  <c r="CJ24" i="1"/>
  <c r="CJ93" i="1"/>
  <c r="C89" i="14" s="1"/>
  <c r="CK93" i="1"/>
  <c r="D89" i="14" s="1"/>
  <c r="CJ15" i="1"/>
  <c r="C15" i="14" s="1"/>
  <c r="CK15" i="1"/>
  <c r="D15" i="14" s="1"/>
  <c r="CJ78" i="1"/>
  <c r="C74" i="14" s="1"/>
  <c r="CK78" i="1"/>
  <c r="D74" i="14" s="1"/>
  <c r="BT6" i="1"/>
  <c r="F4" i="7"/>
  <c r="BT4" i="1"/>
  <c r="EE4" i="1" s="1"/>
  <c r="M13" i="7"/>
  <c r="H19" i="4"/>
  <c r="I18" i="4"/>
  <c r="Z16" i="4"/>
  <c r="AJ16" i="4"/>
  <c r="AB16" i="4"/>
  <c r="AO16" i="4"/>
  <c r="X16" i="4"/>
  <c r="AH16" i="4"/>
  <c r="AI16" i="4"/>
  <c r="V16" i="4"/>
  <c r="AF16" i="4"/>
  <c r="AE16" i="4"/>
  <c r="AM16" i="4"/>
  <c r="S16" i="4"/>
  <c r="AD16" i="4"/>
  <c r="AL16" i="4"/>
  <c r="AC16" i="4"/>
  <c r="AN16" i="4"/>
  <c r="AA16" i="4"/>
  <c r="Y16" i="4"/>
  <c r="AK16" i="4"/>
  <c r="AG16" i="4"/>
  <c r="T16" i="4"/>
  <c r="W16" i="4"/>
  <c r="U16" i="4"/>
  <c r="Q15" i="4"/>
  <c r="O17" i="4"/>
  <c r="P17" i="4" s="1"/>
  <c r="N17" i="4"/>
  <c r="F20" i="4"/>
  <c r="G19" i="4"/>
  <c r="BC31" i="2"/>
  <c r="BB31" i="2"/>
  <c r="BC39" i="2"/>
  <c r="BB39" i="2"/>
  <c r="BG48" i="2"/>
  <c r="BF48" i="2"/>
  <c r="BC43" i="2"/>
  <c r="BB43" i="2"/>
  <c r="BG44" i="2"/>
  <c r="BF44" i="2"/>
  <c r="BC47" i="2"/>
  <c r="BB47" i="2"/>
  <c r="BC19" i="2"/>
  <c r="BB19" i="2"/>
  <c r="BC18" i="2"/>
  <c r="BB18" i="2"/>
  <c r="BC42" i="2"/>
  <c r="BB42" i="2"/>
  <c r="BC61" i="2"/>
  <c r="BB61" i="2"/>
  <c r="BC8" i="2"/>
  <c r="BB8" i="2"/>
  <c r="BC49" i="2"/>
  <c r="BB49" i="2"/>
  <c r="H15" i="12" l="1"/>
  <c r="ED16" i="1"/>
  <c r="CK16" i="1"/>
  <c r="D16" i="14" s="1"/>
  <c r="CJ16" i="1"/>
  <c r="C16" i="14" s="1"/>
  <c r="I5" i="12"/>
  <c r="EE6" i="1"/>
  <c r="C43" i="14"/>
  <c r="D4" i="14"/>
  <c r="C50" i="14"/>
  <c r="C31" i="14"/>
  <c r="C23" i="14"/>
  <c r="C13" i="14"/>
  <c r="CM4" i="1"/>
  <c r="F4" i="14" s="1"/>
  <c r="I3" i="12"/>
  <c r="CL6" i="1"/>
  <c r="CM6" i="1"/>
  <c r="CL4" i="1"/>
  <c r="H20" i="4"/>
  <c r="I19" i="4"/>
  <c r="AJ17" i="4"/>
  <c r="AB17" i="4"/>
  <c r="AG17" i="4"/>
  <c r="AN17" i="4"/>
  <c r="AM17" i="4"/>
  <c r="AC17" i="4"/>
  <c r="AH17" i="4"/>
  <c r="Y17" i="4"/>
  <c r="AK17" i="4"/>
  <c r="AE17" i="4"/>
  <c r="W17" i="4"/>
  <c r="AO17" i="4"/>
  <c r="T17" i="4"/>
  <c r="AF17" i="4"/>
  <c r="V17" i="4"/>
  <c r="Z17" i="4"/>
  <c r="U17" i="4"/>
  <c r="AI17" i="4"/>
  <c r="AL17" i="4"/>
  <c r="AA17" i="4"/>
  <c r="X17" i="4"/>
  <c r="S17" i="4"/>
  <c r="AD17" i="4"/>
  <c r="Q16" i="4"/>
  <c r="N18" i="4"/>
  <c r="O18" i="4"/>
  <c r="P18" i="4" s="1"/>
  <c r="F21" i="4"/>
  <c r="G20" i="4"/>
  <c r="BW44" i="2"/>
  <c r="BE19" i="2"/>
  <c r="BD19" i="2"/>
  <c r="BE47" i="2"/>
  <c r="BD47" i="2"/>
  <c r="BE8" i="2"/>
  <c r="BD8" i="2"/>
  <c r="BE31" i="2"/>
  <c r="BD31" i="2"/>
  <c r="BH48" i="2"/>
  <c r="BI48" i="2"/>
  <c r="BJ48" i="2" s="1"/>
  <c r="BE49" i="2"/>
  <c r="BD49" i="2"/>
  <c r="BE39" i="2"/>
  <c r="BD39" i="2"/>
  <c r="BE61" i="2"/>
  <c r="BD61" i="2"/>
  <c r="BH44" i="2"/>
  <c r="BI44" i="2"/>
  <c r="BE42" i="2"/>
  <c r="BD42" i="2"/>
  <c r="BE43" i="2"/>
  <c r="BD43" i="2"/>
  <c r="BV48" i="2"/>
  <c r="CI83" i="2" s="1"/>
  <c r="BE18" i="2"/>
  <c r="BD18" i="2"/>
  <c r="BW48" i="2" l="1"/>
  <c r="CX4" i="1"/>
  <c r="CY4" i="1" s="1"/>
  <c r="CV4" i="1"/>
  <c r="CX6" i="1"/>
  <c r="CY6" i="1" s="1"/>
  <c r="F6" i="14"/>
  <c r="E6" i="14"/>
  <c r="E4" i="14"/>
  <c r="CV6" i="1"/>
  <c r="Q17" i="4"/>
  <c r="V18" i="4"/>
  <c r="AK18" i="4"/>
  <c r="AF18" i="4"/>
  <c r="AH18" i="4"/>
  <c r="AC18" i="4"/>
  <c r="U18" i="4"/>
  <c r="AD18" i="4"/>
  <c r="AA18" i="4"/>
  <c r="AL18" i="4"/>
  <c r="X18" i="4"/>
  <c r="Y18" i="4"/>
  <c r="AM18" i="4"/>
  <c r="S18" i="4"/>
  <c r="AI18" i="4"/>
  <c r="AJ18" i="4"/>
  <c r="AG18" i="4"/>
  <c r="AN18" i="4"/>
  <c r="W18" i="4"/>
  <c r="AO18" i="4"/>
  <c r="T18" i="4"/>
  <c r="Z18" i="4"/>
  <c r="AB18" i="4"/>
  <c r="AE18" i="4"/>
  <c r="H21" i="4"/>
  <c r="I20" i="4"/>
  <c r="N19" i="4"/>
  <c r="O19" i="4"/>
  <c r="P19" i="4" s="1"/>
  <c r="F22" i="4"/>
  <c r="G21" i="4"/>
  <c r="CU83" i="2"/>
  <c r="BX48" i="2"/>
  <c r="BG39" i="2"/>
  <c r="BF39" i="2"/>
  <c r="BG19" i="2"/>
  <c r="BF19" i="2"/>
  <c r="BG18" i="2"/>
  <c r="BF18" i="2"/>
  <c r="BG61" i="2"/>
  <c r="BF61" i="2"/>
  <c r="BG43" i="2"/>
  <c r="BF43" i="2"/>
  <c r="BG47" i="2"/>
  <c r="BF47" i="2"/>
  <c r="CY67" i="2"/>
  <c r="BX44" i="2"/>
  <c r="BG49" i="2"/>
  <c r="BF49" i="2"/>
  <c r="BF42" i="2"/>
  <c r="BG42" i="2"/>
  <c r="BF31" i="2"/>
  <c r="BG31" i="2"/>
  <c r="BJ44" i="2"/>
  <c r="BV44" i="2"/>
  <c r="CM67" i="2" s="1"/>
  <c r="BG8" i="2"/>
  <c r="BF8" i="2"/>
  <c r="H6" i="14" l="1"/>
  <c r="H4" i="14"/>
  <c r="CW4" i="1"/>
  <c r="G4" i="14" s="1"/>
  <c r="CW6" i="1"/>
  <c r="G6" i="14" s="1"/>
  <c r="H22" i="4"/>
  <c r="I21" i="4"/>
  <c r="AD19" i="4"/>
  <c r="X19" i="4"/>
  <c r="AF19" i="4"/>
  <c r="AG19" i="4"/>
  <c r="AM19" i="4"/>
  <c r="AH19" i="4"/>
  <c r="Z19" i="4"/>
  <c r="S19" i="4"/>
  <c r="AC19" i="4"/>
  <c r="W19" i="4"/>
  <c r="AJ19" i="4"/>
  <c r="AL19" i="4"/>
  <c r="AK19" i="4"/>
  <c r="AB19" i="4"/>
  <c r="AE19" i="4"/>
  <c r="AA19" i="4"/>
  <c r="V19" i="4"/>
  <c r="AI19" i="4"/>
  <c r="U19" i="4"/>
  <c r="T19" i="4"/>
  <c r="AO19" i="4"/>
  <c r="Y19" i="4"/>
  <c r="AN19" i="4"/>
  <c r="N20" i="4"/>
  <c r="O20" i="4"/>
  <c r="P20" i="4" s="1"/>
  <c r="Q18" i="4"/>
  <c r="F23" i="4"/>
  <c r="G22" i="4"/>
  <c r="BW31" i="2"/>
  <c r="BH39" i="2"/>
  <c r="BI39" i="2"/>
  <c r="BJ39" i="2" s="1"/>
  <c r="BI42" i="2"/>
  <c r="BH42" i="2"/>
  <c r="BI61" i="2"/>
  <c r="BJ61" i="2" s="1"/>
  <c r="BH61" i="2"/>
  <c r="BH43" i="2"/>
  <c r="BI43" i="2"/>
  <c r="BH19" i="2"/>
  <c r="BI19" i="2"/>
  <c r="BH47" i="2"/>
  <c r="BI47" i="2"/>
  <c r="BH18" i="2"/>
  <c r="BI18" i="2"/>
  <c r="BV39" i="2"/>
  <c r="CH67" i="2" s="1"/>
  <c r="BI31" i="2"/>
  <c r="BJ31" i="2" s="1"/>
  <c r="BH31" i="2"/>
  <c r="BV31" i="2"/>
  <c r="CJ53" i="2" s="1"/>
  <c r="CB53" i="2" s="1"/>
  <c r="BI8" i="2"/>
  <c r="BH8" i="2"/>
  <c r="BI49" i="2"/>
  <c r="BH49" i="2"/>
  <c r="BW61" i="2"/>
  <c r="BV61" i="2" l="1"/>
  <c r="CH102" i="2" s="1"/>
  <c r="CB102" i="2" s="1"/>
  <c r="N6" i="14"/>
  <c r="O6" i="14"/>
  <c r="M6" i="14"/>
  <c r="M4" i="14"/>
  <c r="N4" i="14"/>
  <c r="O4" i="14"/>
  <c r="Q6" i="14"/>
  <c r="P6" i="14"/>
  <c r="R6" i="14"/>
  <c r="P4" i="14"/>
  <c r="R4" i="14"/>
  <c r="Q4" i="14"/>
  <c r="DB6" i="1"/>
  <c r="DB4" i="1"/>
  <c r="Q19" i="4"/>
  <c r="U20" i="4"/>
  <c r="AE20" i="4"/>
  <c r="AL20" i="4"/>
  <c r="AK20" i="4"/>
  <c r="V20" i="4"/>
  <c r="AI20" i="4"/>
  <c r="AB20" i="4"/>
  <c r="AG20" i="4"/>
  <c r="AF20" i="4"/>
  <c r="AC20" i="4"/>
  <c r="W20" i="4"/>
  <c r="S20" i="4"/>
  <c r="AN20" i="4"/>
  <c r="AH20" i="4"/>
  <c r="AO20" i="4"/>
  <c r="Y20" i="4"/>
  <c r="AD20" i="4"/>
  <c r="X20" i="4"/>
  <c r="AA20" i="4"/>
  <c r="AM20" i="4"/>
  <c r="T20" i="4"/>
  <c r="AJ20" i="4"/>
  <c r="Z20" i="4"/>
  <c r="N21" i="4"/>
  <c r="O21" i="4"/>
  <c r="P21" i="4" s="1"/>
  <c r="H23" i="4"/>
  <c r="I22" i="4"/>
  <c r="G23" i="4"/>
  <c r="F24" i="4"/>
  <c r="BJ42" i="2"/>
  <c r="BW42" i="2"/>
  <c r="BV42" i="2"/>
  <c r="CK67" i="2" s="1"/>
  <c r="BJ18" i="2"/>
  <c r="BW18" i="2"/>
  <c r="BV18" i="2"/>
  <c r="CH30" i="2" s="1"/>
  <c r="BJ49" i="2"/>
  <c r="BW49" i="2"/>
  <c r="BV49" i="2"/>
  <c r="CJ83" i="2" s="1"/>
  <c r="BJ19" i="2"/>
  <c r="BW19" i="2"/>
  <c r="BV19" i="2"/>
  <c r="CI30" i="2" s="1"/>
  <c r="BJ8" i="2"/>
  <c r="BW8" i="2"/>
  <c r="BV8" i="2"/>
  <c r="CI10" i="2" s="1"/>
  <c r="CB10" i="2" s="1"/>
  <c r="BJ43" i="2"/>
  <c r="BW43" i="2"/>
  <c r="BV43" i="2"/>
  <c r="CL67" i="2" s="1"/>
  <c r="BW39" i="2"/>
  <c r="CT102" i="2"/>
  <c r="CC102" i="2" s="1"/>
  <c r="BX61" i="2"/>
  <c r="BJ47" i="2"/>
  <c r="BW47" i="2"/>
  <c r="BV47" i="2"/>
  <c r="CH83" i="2" s="1"/>
  <c r="CB83" i="2" s="1"/>
  <c r="CV53" i="2"/>
  <c r="CC53" i="2" s="1"/>
  <c r="BX31" i="2"/>
  <c r="CB67" i="2" l="1"/>
  <c r="H24" i="4"/>
  <c r="I23" i="4"/>
  <c r="O22" i="4"/>
  <c r="P22" i="4" s="1"/>
  <c r="N22" i="4"/>
  <c r="T21" i="4"/>
  <c r="AI21" i="4"/>
  <c r="U21" i="4"/>
  <c r="AH21" i="4"/>
  <c r="AB21" i="4"/>
  <c r="AC21" i="4"/>
  <c r="AM21" i="4"/>
  <c r="AL21" i="4"/>
  <c r="AK21" i="4"/>
  <c r="AJ21" i="4"/>
  <c r="AD21" i="4"/>
  <c r="AG21" i="4"/>
  <c r="V21" i="4"/>
  <c r="AA21" i="4"/>
  <c r="W21" i="4"/>
  <c r="AF21" i="4"/>
  <c r="Z21" i="4"/>
  <c r="AE21" i="4"/>
  <c r="AN21" i="4"/>
  <c r="Y21" i="4"/>
  <c r="X21" i="4"/>
  <c r="S21" i="4"/>
  <c r="AO21" i="4"/>
  <c r="Q20" i="4"/>
  <c r="F25" i="4"/>
  <c r="G24" i="4"/>
  <c r="BX42" i="2"/>
  <c r="CW67" i="2"/>
  <c r="CT83" i="2"/>
  <c r="BX47" i="2"/>
  <c r="CU30" i="2"/>
  <c r="BX19" i="2"/>
  <c r="CT30" i="2"/>
  <c r="BX18" i="2"/>
  <c r="BX39" i="2"/>
  <c r="CT67" i="2"/>
  <c r="CU10" i="2"/>
  <c r="CC10" i="2" s="1"/>
  <c r="BX8" i="2"/>
  <c r="CV83" i="2"/>
  <c r="BX49" i="2"/>
  <c r="CX67" i="2"/>
  <c r="BX43" i="2"/>
  <c r="CB30" i="2"/>
  <c r="CC83" i="2" l="1"/>
  <c r="Z22" i="4"/>
  <c r="AD22" i="4"/>
  <c r="AO22" i="4"/>
  <c r="AI22" i="4"/>
  <c r="AG22" i="4"/>
  <c r="AA22" i="4"/>
  <c r="AC22" i="4"/>
  <c r="AB22" i="4"/>
  <c r="AL22" i="4"/>
  <c r="Y22" i="4"/>
  <c r="V22" i="4"/>
  <c r="W22" i="4"/>
  <c r="AE22" i="4"/>
  <c r="S22" i="4"/>
  <c r="T22" i="4"/>
  <c r="AJ22" i="4"/>
  <c r="AH22" i="4"/>
  <c r="AK22" i="4"/>
  <c r="U22" i="4"/>
  <c r="AM22" i="4"/>
  <c r="X22" i="4"/>
  <c r="AN22" i="4"/>
  <c r="AF22" i="4"/>
  <c r="Q21" i="4"/>
  <c r="N23" i="4"/>
  <c r="O23" i="4"/>
  <c r="P23" i="4" s="1"/>
  <c r="H25" i="4"/>
  <c r="I24" i="4"/>
  <c r="F26" i="4"/>
  <c r="G25" i="4"/>
  <c r="CC30" i="2"/>
  <c r="CC67" i="2"/>
  <c r="H26" i="4" l="1"/>
  <c r="I25" i="4"/>
  <c r="O24" i="4"/>
  <c r="P24" i="4" s="1"/>
  <c r="N24" i="4"/>
  <c r="AL23" i="4"/>
  <c r="V23" i="4"/>
  <c r="X23" i="4"/>
  <c r="AO23" i="4"/>
  <c r="AB23" i="4"/>
  <c r="S23" i="4"/>
  <c r="AK23" i="4"/>
  <c r="AH23" i="4"/>
  <c r="Z23" i="4"/>
  <c r="AJ23" i="4"/>
  <c r="T23" i="4"/>
  <c r="U23" i="4"/>
  <c r="AE23" i="4"/>
  <c r="AA23" i="4"/>
  <c r="AG23" i="4"/>
  <c r="AC23" i="4"/>
  <c r="W23" i="4"/>
  <c r="AN23" i="4"/>
  <c r="AI23" i="4"/>
  <c r="AD23" i="4"/>
  <c r="Y23" i="4"/>
  <c r="AF23" i="4"/>
  <c r="AM23" i="4"/>
  <c r="Q22" i="4"/>
  <c r="G26" i="4"/>
  <c r="F27" i="4"/>
  <c r="BC96" i="1"/>
  <c r="BE73" i="1" l="1"/>
  <c r="BE63" i="1"/>
  <c r="EA63" i="1" s="1"/>
  <c r="BE10" i="1"/>
  <c r="EA10" i="1" s="1"/>
  <c r="BD16" i="1"/>
  <c r="BD30" i="1"/>
  <c r="BF30" i="1" s="1"/>
  <c r="EB30" i="1" s="1"/>
  <c r="BE96" i="1"/>
  <c r="EA96" i="1" s="1"/>
  <c r="BD96" i="1"/>
  <c r="BF96" i="1" s="1"/>
  <c r="EB96" i="1" s="1"/>
  <c r="BE83" i="1"/>
  <c r="BE80" i="1"/>
  <c r="BE70" i="1"/>
  <c r="AB5" i="1"/>
  <c r="BG5" i="1"/>
  <c r="EC5" i="1" s="1"/>
  <c r="BE94" i="1"/>
  <c r="EA94" i="1" s="1"/>
  <c r="BF94" i="1"/>
  <c r="EB94" i="1" s="1"/>
  <c r="BF80" i="1"/>
  <c r="EB80" i="1" s="1"/>
  <c r="BE52" i="1"/>
  <c r="EA52" i="1" s="1"/>
  <c r="BE27" i="1"/>
  <c r="EA27" i="1" s="1"/>
  <c r="BE66" i="1"/>
  <c r="EA66" i="1" s="1"/>
  <c r="BE78" i="1"/>
  <c r="EA78" i="1" s="1"/>
  <c r="BE77" i="1"/>
  <c r="EA77" i="1" s="1"/>
  <c r="BE61" i="1"/>
  <c r="EA61" i="1" s="1"/>
  <c r="BE92" i="1"/>
  <c r="EA92" i="1" s="1"/>
  <c r="BE41" i="1"/>
  <c r="EA41" i="1" s="1"/>
  <c r="BE79" i="1"/>
  <c r="EA79" i="1" s="1"/>
  <c r="BE11" i="1"/>
  <c r="EA11" i="1" s="1"/>
  <c r="BE24" i="1"/>
  <c r="EA24" i="1" s="1"/>
  <c r="BE49" i="1"/>
  <c r="EA49" i="1" s="1"/>
  <c r="BE58" i="1"/>
  <c r="EA58" i="1" s="1"/>
  <c r="BE67" i="1"/>
  <c r="EA67" i="1" s="1"/>
  <c r="BE93" i="1"/>
  <c r="EA93" i="1" s="1"/>
  <c r="BE26" i="1"/>
  <c r="EA26" i="1" s="1"/>
  <c r="BE65" i="1"/>
  <c r="EA65" i="1" s="1"/>
  <c r="BE38" i="1"/>
  <c r="EA38" i="1" s="1"/>
  <c r="BE62" i="1"/>
  <c r="EA62" i="1" s="1"/>
  <c r="BE8" i="1"/>
  <c r="EA8" i="1" s="1"/>
  <c r="BE75" i="1"/>
  <c r="EA75" i="1" s="1"/>
  <c r="BE35" i="1"/>
  <c r="EA35" i="1" s="1"/>
  <c r="BF5" i="1"/>
  <c r="EB5" i="1" s="1"/>
  <c r="BE88" i="1"/>
  <c r="EA88" i="1" s="1"/>
  <c r="BE34" i="1"/>
  <c r="EA34" i="1" s="1"/>
  <c r="BE87" i="1"/>
  <c r="EA87" i="1" s="1"/>
  <c r="BE45" i="1"/>
  <c r="EA45" i="1" s="1"/>
  <c r="BE18" i="1"/>
  <c r="EA18" i="1" s="1"/>
  <c r="BE51" i="1"/>
  <c r="EA51" i="1" s="1"/>
  <c r="BE9" i="1"/>
  <c r="EA9" i="1" s="1"/>
  <c r="BE76" i="1"/>
  <c r="EA76" i="1" s="1"/>
  <c r="BE22" i="1"/>
  <c r="EA22" i="1" s="1"/>
  <c r="BE48" i="1"/>
  <c r="EA48" i="1" s="1"/>
  <c r="BE21" i="1"/>
  <c r="EA21" i="1" s="1"/>
  <c r="BE74" i="1"/>
  <c r="EA74" i="1" s="1"/>
  <c r="BE60" i="1"/>
  <c r="EA60" i="1" s="1"/>
  <c r="BE20" i="1"/>
  <c r="EA20" i="1" s="1"/>
  <c r="BF73" i="1"/>
  <c r="EB73" i="1" s="1"/>
  <c r="BE19" i="1"/>
  <c r="EA19" i="1" s="1"/>
  <c r="BE72" i="1"/>
  <c r="EA72" i="1" s="1"/>
  <c r="BE56" i="1"/>
  <c r="EA56" i="1" s="1"/>
  <c r="BE44" i="1"/>
  <c r="EA44" i="1" s="1"/>
  <c r="BE31" i="1"/>
  <c r="BE17" i="1"/>
  <c r="EA17" i="1" s="1"/>
  <c r="BE53" i="1"/>
  <c r="EA53" i="1" s="1"/>
  <c r="BE40" i="1"/>
  <c r="EA40" i="1" s="1"/>
  <c r="BE39" i="1"/>
  <c r="EA39" i="1" s="1"/>
  <c r="BE64" i="1"/>
  <c r="EA64" i="1" s="1"/>
  <c r="BE47" i="1"/>
  <c r="EA47" i="1" s="1"/>
  <c r="BE33" i="1"/>
  <c r="EA33" i="1" s="1"/>
  <c r="BE86" i="1"/>
  <c r="EA86" i="1" s="1"/>
  <c r="BE32" i="1"/>
  <c r="EA32" i="1" s="1"/>
  <c r="BE69" i="1"/>
  <c r="EA69" i="1" s="1"/>
  <c r="BE43" i="1"/>
  <c r="EA43" i="1" s="1"/>
  <c r="BE29" i="1"/>
  <c r="EA29" i="1" s="1"/>
  <c r="BE15" i="1"/>
  <c r="EA15" i="1" s="1"/>
  <c r="BE13" i="1"/>
  <c r="EA13" i="1" s="1"/>
  <c r="BE12" i="1"/>
  <c r="EA12" i="1" s="1"/>
  <c r="BE25" i="1"/>
  <c r="EA25" i="1" s="1"/>
  <c r="BE91" i="1"/>
  <c r="EA91" i="1" s="1"/>
  <c r="BE50" i="1"/>
  <c r="EA50" i="1" s="1"/>
  <c r="BE90" i="1"/>
  <c r="EA90" i="1" s="1"/>
  <c r="BE37" i="1"/>
  <c r="EA37" i="1" s="1"/>
  <c r="BE89" i="1"/>
  <c r="EA89" i="1" s="1"/>
  <c r="BE46" i="1"/>
  <c r="EA46" i="1" s="1"/>
  <c r="BE57" i="1"/>
  <c r="EA57" i="1" s="1"/>
  <c r="BE85" i="1"/>
  <c r="EA85" i="1" s="1"/>
  <c r="BF70" i="1"/>
  <c r="EB70" i="1" s="1"/>
  <c r="BF83" i="1"/>
  <c r="EB83" i="1" s="1"/>
  <c r="BE55" i="1"/>
  <c r="EA55" i="1" s="1"/>
  <c r="BE82" i="1"/>
  <c r="EA82" i="1" s="1"/>
  <c r="BE68" i="1"/>
  <c r="EA68" i="1" s="1"/>
  <c r="BE54" i="1"/>
  <c r="EA54" i="1" s="1"/>
  <c r="BE42" i="1"/>
  <c r="EA42" i="1" s="1"/>
  <c r="BD28" i="1"/>
  <c r="BE28" i="1"/>
  <c r="EA28" i="1" s="1"/>
  <c r="BE14" i="1"/>
  <c r="EA14" i="1" s="1"/>
  <c r="BF61" i="1"/>
  <c r="EB61" i="1" s="1"/>
  <c r="BF29" i="1"/>
  <c r="EB29" i="1" s="1"/>
  <c r="BD66" i="1"/>
  <c r="BD13" i="1"/>
  <c r="BD60" i="1"/>
  <c r="BD76" i="1"/>
  <c r="BD93" i="1"/>
  <c r="BD27" i="1"/>
  <c r="BD24" i="1"/>
  <c r="BD88" i="1"/>
  <c r="BD35" i="1"/>
  <c r="BD87" i="1"/>
  <c r="BD58" i="1"/>
  <c r="BD19" i="1"/>
  <c r="BD74" i="1"/>
  <c r="BD5" i="1"/>
  <c r="BD73" i="1"/>
  <c r="BD20" i="1"/>
  <c r="BD72" i="1"/>
  <c r="BD45" i="1"/>
  <c r="BD32" i="1"/>
  <c r="BD18" i="1"/>
  <c r="BD21" i="1"/>
  <c r="BD47" i="1"/>
  <c r="BD86" i="1"/>
  <c r="BD33" i="1"/>
  <c r="BD56" i="1"/>
  <c r="BD31" i="1"/>
  <c r="BD17" i="1"/>
  <c r="BD53" i="1"/>
  <c r="BD34" i="1"/>
  <c r="BD46" i="1"/>
  <c r="BD70" i="1"/>
  <c r="BD79" i="1"/>
  <c r="BD41" i="1"/>
  <c r="BD48" i="1"/>
  <c r="BD85" i="1"/>
  <c r="BD57" i="1"/>
  <c r="BD67" i="1"/>
  <c r="BD54" i="1"/>
  <c r="BD14" i="1"/>
  <c r="Q23" i="4"/>
  <c r="AK24" i="4"/>
  <c r="AA24" i="4"/>
  <c r="AC24" i="4"/>
  <c r="Z24" i="4"/>
  <c r="AO24" i="4"/>
  <c r="AH24" i="4"/>
  <c r="AB24" i="4"/>
  <c r="AE24" i="4"/>
  <c r="AM24" i="4"/>
  <c r="T24" i="4"/>
  <c r="U24" i="4"/>
  <c r="AN24" i="4"/>
  <c r="W24" i="4"/>
  <c r="X24" i="4"/>
  <c r="AF24" i="4"/>
  <c r="AJ24" i="4"/>
  <c r="Y24" i="4"/>
  <c r="AD24" i="4"/>
  <c r="AL24" i="4"/>
  <c r="S24" i="4"/>
  <c r="V24" i="4"/>
  <c r="AI24" i="4"/>
  <c r="AG24" i="4"/>
  <c r="N25" i="4"/>
  <c r="O25" i="4"/>
  <c r="P25" i="4" s="1"/>
  <c r="H27" i="4"/>
  <c r="I26" i="4"/>
  <c r="G27" i="4"/>
  <c r="F28" i="4"/>
  <c r="BD42" i="1"/>
  <c r="BD75" i="1"/>
  <c r="BD61" i="1"/>
  <c r="BD44" i="1"/>
  <c r="BD37" i="1"/>
  <c r="BD49" i="1"/>
  <c r="BD22" i="1"/>
  <c r="BD8" i="1"/>
  <c r="BD89" i="1"/>
  <c r="BD83" i="1"/>
  <c r="BD80" i="1"/>
  <c r="BD82" i="1"/>
  <c r="BD43" i="1"/>
  <c r="BD69" i="1"/>
  <c r="BD68" i="1"/>
  <c r="BD29" i="1"/>
  <c r="BD55" i="1"/>
  <c r="BD15" i="1"/>
  <c r="BD92" i="1"/>
  <c r="BD78" i="1"/>
  <c r="BD65" i="1"/>
  <c r="BD52" i="1"/>
  <c r="BD40" i="1"/>
  <c r="BD26" i="1"/>
  <c r="BD12" i="1"/>
  <c r="BD91" i="1"/>
  <c r="BD77" i="1"/>
  <c r="BD64" i="1"/>
  <c r="BD51" i="1"/>
  <c r="BD39" i="1"/>
  <c r="BD25" i="1"/>
  <c r="BD11" i="1"/>
  <c r="BD50" i="1"/>
  <c r="BD90" i="1"/>
  <c r="BD38" i="1"/>
  <c r="BD62" i="1"/>
  <c r="BD9" i="1"/>
  <c r="AB70" i="1" l="1"/>
  <c r="EA70" i="1"/>
  <c r="BG80" i="1"/>
  <c r="EC80" i="1" s="1"/>
  <c r="EA80" i="1"/>
  <c r="AB83" i="1"/>
  <c r="D64" i="7" s="1"/>
  <c r="EA83" i="1"/>
  <c r="AB31" i="1"/>
  <c r="AC31" i="1" s="1"/>
  <c r="EA31" i="1"/>
  <c r="BG73" i="1"/>
  <c r="EC73" i="1" s="1"/>
  <c r="EA73" i="1"/>
  <c r="L9" i="7"/>
  <c r="I64" i="13"/>
  <c r="BG83" i="1"/>
  <c r="EC83" i="1" s="1"/>
  <c r="BF10" i="1"/>
  <c r="EB10" i="1" s="1"/>
  <c r="BD63" i="1"/>
  <c r="BF63" i="1" s="1"/>
  <c r="EB63" i="1" s="1"/>
  <c r="AB73" i="1"/>
  <c r="AC73" i="1" s="1"/>
  <c r="H74" i="13" s="1"/>
  <c r="AC83" i="1"/>
  <c r="U87" i="13" s="1"/>
  <c r="AC5" i="1"/>
  <c r="H64" i="13" s="1"/>
  <c r="K9" i="7"/>
  <c r="AC70" i="1"/>
  <c r="U86" i="13" s="1"/>
  <c r="D55" i="7"/>
  <c r="BF16" i="1"/>
  <c r="EB16" i="1" s="1"/>
  <c r="BE16" i="1"/>
  <c r="EA16" i="1" s="1"/>
  <c r="AB10" i="1"/>
  <c r="BG10" i="1"/>
  <c r="EC10" i="1" s="1"/>
  <c r="BG70" i="1"/>
  <c r="BE30" i="1"/>
  <c r="AB80" i="1"/>
  <c r="BE84" i="1"/>
  <c r="EA84" i="1" s="1"/>
  <c r="BD84" i="1"/>
  <c r="BF84" i="1" s="1"/>
  <c r="EB84" i="1" s="1"/>
  <c r="BG96" i="1"/>
  <c r="EC96" i="1" s="1"/>
  <c r="AB96" i="1"/>
  <c r="BE81" i="1"/>
  <c r="EA81" i="1" s="1"/>
  <c r="BD81" i="1"/>
  <c r="BF81" i="1" s="1"/>
  <c r="EB81" i="1" s="1"/>
  <c r="BD71" i="1"/>
  <c r="BF71" i="1" s="1"/>
  <c r="EB71" i="1" s="1"/>
  <c r="BE71" i="1"/>
  <c r="EA71" i="1" s="1"/>
  <c r="BG63" i="1"/>
  <c r="EC63" i="1" s="1"/>
  <c r="AB63" i="1"/>
  <c r="AB13" i="1"/>
  <c r="BG13" i="1"/>
  <c r="BG48" i="1"/>
  <c r="AB48" i="1"/>
  <c r="AB45" i="1"/>
  <c r="BG45" i="1"/>
  <c r="AB11" i="1"/>
  <c r="BG11" i="1"/>
  <c r="EC11" i="1" s="1"/>
  <c r="AB78" i="1"/>
  <c r="BG78" i="1"/>
  <c r="AB19" i="1"/>
  <c r="BG19" i="1"/>
  <c r="AB79" i="1"/>
  <c r="BG79" i="1"/>
  <c r="EC79" i="1" s="1"/>
  <c r="AB66" i="1"/>
  <c r="BG66" i="1"/>
  <c r="AB90" i="1"/>
  <c r="BG90" i="1"/>
  <c r="BG68" i="1"/>
  <c r="AB68" i="1"/>
  <c r="AB85" i="1"/>
  <c r="BG85" i="1"/>
  <c r="EC85" i="1" s="1"/>
  <c r="AB50" i="1"/>
  <c r="BG50" i="1"/>
  <c r="EC50" i="1" s="1"/>
  <c r="BG29" i="1"/>
  <c r="AB29" i="1"/>
  <c r="AB47" i="1"/>
  <c r="BG47" i="1"/>
  <c r="BG31" i="1"/>
  <c r="EC31" i="1" s="1"/>
  <c r="AB8" i="1"/>
  <c r="BG8" i="1"/>
  <c r="EC8" i="1" s="1"/>
  <c r="BG86" i="1"/>
  <c r="AB86" i="1"/>
  <c r="AB20" i="1"/>
  <c r="BG20" i="1"/>
  <c r="BG76" i="1"/>
  <c r="AB76" i="1"/>
  <c r="AB34" i="1"/>
  <c r="BG34" i="1"/>
  <c r="BG67" i="1"/>
  <c r="EC67" i="1" s="1"/>
  <c r="AB67" i="1"/>
  <c r="AB41" i="1"/>
  <c r="BG41" i="1"/>
  <c r="BG27" i="1"/>
  <c r="AB27" i="1"/>
  <c r="AB33" i="1"/>
  <c r="BG33" i="1"/>
  <c r="AB82" i="1"/>
  <c r="BG82" i="1"/>
  <c r="EC82" i="1" s="1"/>
  <c r="AB64" i="1"/>
  <c r="BG64" i="1"/>
  <c r="BG44" i="1"/>
  <c r="EC44" i="1" s="1"/>
  <c r="AB44" i="1"/>
  <c r="AB62" i="1"/>
  <c r="BG62" i="1"/>
  <c r="BG37" i="1"/>
  <c r="AB37" i="1"/>
  <c r="AB18" i="1"/>
  <c r="BG18" i="1"/>
  <c r="BG14" i="1"/>
  <c r="EC14" i="1" s="1"/>
  <c r="AB14" i="1"/>
  <c r="BG60" i="1"/>
  <c r="EC60" i="1" s="1"/>
  <c r="AB60" i="1"/>
  <c r="BG9" i="1"/>
  <c r="EC9" i="1" s="1"/>
  <c r="AB9" i="1"/>
  <c r="BG88" i="1"/>
  <c r="EC88" i="1" s="1"/>
  <c r="AB88" i="1"/>
  <c r="AB58" i="1"/>
  <c r="BG58" i="1"/>
  <c r="AB92" i="1"/>
  <c r="BG92" i="1"/>
  <c r="BG52" i="1"/>
  <c r="EC52" i="1" s="1"/>
  <c r="AB52" i="1"/>
  <c r="AB94" i="1"/>
  <c r="BG94" i="1"/>
  <c r="EC94" i="1" s="1"/>
  <c r="BG26" i="1"/>
  <c r="AB26" i="1"/>
  <c r="AB17" i="1"/>
  <c r="BG17" i="1"/>
  <c r="AB75" i="1"/>
  <c r="BG75" i="1"/>
  <c r="AB91" i="1"/>
  <c r="BG91" i="1"/>
  <c r="EC91" i="1" s="1"/>
  <c r="BG55" i="1"/>
  <c r="AB55" i="1"/>
  <c r="AB46" i="1"/>
  <c r="BG46" i="1"/>
  <c r="AB25" i="1"/>
  <c r="BG25" i="1"/>
  <c r="EC25" i="1" s="1"/>
  <c r="AB69" i="1"/>
  <c r="BG69" i="1"/>
  <c r="AB39" i="1"/>
  <c r="BG39" i="1"/>
  <c r="EC39" i="1" s="1"/>
  <c r="BG56" i="1"/>
  <c r="AB56" i="1"/>
  <c r="AB38" i="1"/>
  <c r="BG38" i="1"/>
  <c r="BG28" i="1"/>
  <c r="EC28" i="1" s="1"/>
  <c r="AB28" i="1"/>
  <c r="BG74" i="1"/>
  <c r="AB74" i="1"/>
  <c r="AB51" i="1"/>
  <c r="BG51" i="1"/>
  <c r="EC51" i="1" s="1"/>
  <c r="AB49" i="1"/>
  <c r="BG49" i="1"/>
  <c r="AB61" i="1"/>
  <c r="BG61" i="1"/>
  <c r="EC61" i="1" s="1"/>
  <c r="AB42" i="1"/>
  <c r="BG42" i="1"/>
  <c r="AB35" i="1"/>
  <c r="BG35" i="1"/>
  <c r="EC35" i="1" s="1"/>
  <c r="BG54" i="1"/>
  <c r="AB54" i="1"/>
  <c r="BG15" i="1"/>
  <c r="EC15" i="1" s="1"/>
  <c r="AB15" i="1"/>
  <c r="AB22" i="1"/>
  <c r="BG22" i="1"/>
  <c r="AB57" i="1"/>
  <c r="BG57" i="1"/>
  <c r="EC57" i="1" s="1"/>
  <c r="AB89" i="1"/>
  <c r="BG89" i="1"/>
  <c r="BG12" i="1"/>
  <c r="EC12" i="1" s="1"/>
  <c r="AB12" i="1"/>
  <c r="AB32" i="1"/>
  <c r="BG32" i="1"/>
  <c r="BG40" i="1"/>
  <c r="AB40" i="1"/>
  <c r="BG72" i="1"/>
  <c r="AB72" i="1"/>
  <c r="AC72" i="1" s="1"/>
  <c r="BT72" i="1" s="1"/>
  <c r="EE72" i="1" s="1"/>
  <c r="AB65" i="1"/>
  <c r="BG65" i="1"/>
  <c r="EC65" i="1" s="1"/>
  <c r="BG53" i="1"/>
  <c r="AB53" i="1"/>
  <c r="AB93" i="1"/>
  <c r="BG93" i="1"/>
  <c r="BG87" i="1"/>
  <c r="EC87" i="1" s="1"/>
  <c r="AB87" i="1"/>
  <c r="BG43" i="1"/>
  <c r="AB43" i="1"/>
  <c r="AB21" i="1"/>
  <c r="BG21" i="1"/>
  <c r="BG24" i="1"/>
  <c r="AB24" i="1"/>
  <c r="AB77" i="1"/>
  <c r="BG77" i="1"/>
  <c r="BF77" i="1"/>
  <c r="EB77" i="1" s="1"/>
  <c r="BF68" i="1"/>
  <c r="EB68" i="1" s="1"/>
  <c r="BU5" i="1"/>
  <c r="BF18" i="1"/>
  <c r="EB18" i="1" s="1"/>
  <c r="BF75" i="1"/>
  <c r="EB75" i="1" s="1"/>
  <c r="BF43" i="1"/>
  <c r="EB43" i="1" s="1"/>
  <c r="BF62" i="1"/>
  <c r="EB62" i="1" s="1"/>
  <c r="BF82" i="1"/>
  <c r="EB82" i="1" s="1"/>
  <c r="BF67" i="1"/>
  <c r="EB67" i="1" s="1"/>
  <c r="BF56" i="1"/>
  <c r="EB56" i="1" s="1"/>
  <c r="BF32" i="1"/>
  <c r="EB32" i="1" s="1"/>
  <c r="BF74" i="1"/>
  <c r="EB74" i="1" s="1"/>
  <c r="BF24" i="1"/>
  <c r="EB24" i="1" s="1"/>
  <c r="BF66" i="1"/>
  <c r="EB66" i="1" s="1"/>
  <c r="BF79" i="1"/>
  <c r="EB79" i="1" s="1"/>
  <c r="BF9" i="1"/>
  <c r="EB9" i="1" s="1"/>
  <c r="BF69" i="1"/>
  <c r="EB69" i="1" s="1"/>
  <c r="BF46" i="1"/>
  <c r="EB46" i="1" s="1"/>
  <c r="BF33" i="1"/>
  <c r="EB33" i="1" s="1"/>
  <c r="BF45" i="1"/>
  <c r="EB45" i="1" s="1"/>
  <c r="BF19" i="1"/>
  <c r="EB19" i="1" s="1"/>
  <c r="BF27" i="1"/>
  <c r="EB27" i="1" s="1"/>
  <c r="BU80" i="1"/>
  <c r="BF13" i="1"/>
  <c r="EB13" i="1" s="1"/>
  <c r="BF42" i="1"/>
  <c r="EB42" i="1" s="1"/>
  <c r="BF26" i="1"/>
  <c r="EB26" i="1" s="1"/>
  <c r="BF89" i="1"/>
  <c r="EB89" i="1" s="1"/>
  <c r="BF8" i="1"/>
  <c r="EB8" i="1" s="1"/>
  <c r="BF85" i="1"/>
  <c r="EB85" i="1" s="1"/>
  <c r="BF34" i="1"/>
  <c r="EB34" i="1" s="1"/>
  <c r="BF86" i="1"/>
  <c r="EB86" i="1" s="1"/>
  <c r="BF72" i="1"/>
  <c r="EB72" i="1" s="1"/>
  <c r="BF58" i="1"/>
  <c r="EB58" i="1" s="1"/>
  <c r="BF93" i="1"/>
  <c r="EB93" i="1" s="1"/>
  <c r="BF54" i="1"/>
  <c r="EB54" i="1" s="1"/>
  <c r="BF52" i="1"/>
  <c r="EB52" i="1" s="1"/>
  <c r="BF22" i="1"/>
  <c r="EB22" i="1" s="1"/>
  <c r="BF38" i="1"/>
  <c r="EB38" i="1" s="1"/>
  <c r="BF90" i="1"/>
  <c r="EB90" i="1" s="1"/>
  <c r="BF50" i="1"/>
  <c r="EB50" i="1" s="1"/>
  <c r="BF78" i="1"/>
  <c r="EB78" i="1" s="1"/>
  <c r="BF25" i="1"/>
  <c r="EB25" i="1" s="1"/>
  <c r="BF15" i="1"/>
  <c r="EB15" i="1" s="1"/>
  <c r="BF49" i="1"/>
  <c r="EB49" i="1" s="1"/>
  <c r="BF48" i="1"/>
  <c r="EB48" i="1" s="1"/>
  <c r="BF53" i="1"/>
  <c r="EB53" i="1" s="1"/>
  <c r="BF47" i="1"/>
  <c r="EB47" i="1" s="1"/>
  <c r="BF20" i="1"/>
  <c r="EB20" i="1" s="1"/>
  <c r="BF87" i="1"/>
  <c r="EB87" i="1" s="1"/>
  <c r="BF76" i="1"/>
  <c r="EB76" i="1" s="1"/>
  <c r="BF91" i="1"/>
  <c r="EB91" i="1" s="1"/>
  <c r="BF88" i="1"/>
  <c r="EB88" i="1" s="1"/>
  <c r="BF12" i="1"/>
  <c r="EB12" i="1" s="1"/>
  <c r="BF40" i="1"/>
  <c r="EB40" i="1" s="1"/>
  <c r="BF92" i="1"/>
  <c r="EB92" i="1" s="1"/>
  <c r="BF39" i="1"/>
  <c r="EB39" i="1" s="1"/>
  <c r="BF51" i="1"/>
  <c r="EB51" i="1" s="1"/>
  <c r="BF55" i="1"/>
  <c r="EB55" i="1" s="1"/>
  <c r="BF37" i="1"/>
  <c r="EB37" i="1" s="1"/>
  <c r="BF14" i="1"/>
  <c r="EB14" i="1" s="1"/>
  <c r="BF31" i="1"/>
  <c r="EB31" i="1" s="1"/>
  <c r="BF57" i="1"/>
  <c r="EB57" i="1" s="1"/>
  <c r="BF65" i="1"/>
  <c r="EB65" i="1" s="1"/>
  <c r="BF11" i="1"/>
  <c r="EB11" i="1" s="1"/>
  <c r="BF64" i="1"/>
  <c r="EB64" i="1" s="1"/>
  <c r="BF44" i="1"/>
  <c r="EB44" i="1" s="1"/>
  <c r="BF41" i="1"/>
  <c r="EB41" i="1" s="1"/>
  <c r="BF17" i="1"/>
  <c r="EB17" i="1" s="1"/>
  <c r="BF21" i="1"/>
  <c r="EB21" i="1" s="1"/>
  <c r="BF35" i="1"/>
  <c r="EB35" i="1" s="1"/>
  <c r="BF60" i="1"/>
  <c r="EB60" i="1" s="1"/>
  <c r="BF28" i="1"/>
  <c r="EB28" i="1" s="1"/>
  <c r="H28" i="4"/>
  <c r="I27" i="4"/>
  <c r="N26" i="4"/>
  <c r="O26" i="4"/>
  <c r="P26" i="4" s="1"/>
  <c r="AA25" i="4"/>
  <c r="AC25" i="4"/>
  <c r="AK25" i="4"/>
  <c r="W25" i="4"/>
  <c r="AB25" i="4"/>
  <c r="S25" i="4"/>
  <c r="T25" i="4"/>
  <c r="AN25" i="4"/>
  <c r="AH25" i="4"/>
  <c r="AG25" i="4"/>
  <c r="Y25" i="4"/>
  <c r="V25" i="4"/>
  <c r="U25" i="4"/>
  <c r="AI25" i="4"/>
  <c r="Z25" i="4"/>
  <c r="X25" i="4"/>
  <c r="AL25" i="4"/>
  <c r="AD25" i="4"/>
  <c r="AJ25" i="4"/>
  <c r="AO25" i="4"/>
  <c r="AF25" i="4"/>
  <c r="AM25" i="4"/>
  <c r="AE25" i="4"/>
  <c r="Q24" i="4"/>
  <c r="G28" i="4"/>
  <c r="F29" i="4"/>
  <c r="AI86" i="1"/>
  <c r="AL86" i="1" s="1"/>
  <c r="EJ86" i="1" s="1"/>
  <c r="AI83" i="1"/>
  <c r="AL83" i="1" s="1"/>
  <c r="EJ83" i="1" s="1"/>
  <c r="AI82" i="1"/>
  <c r="AL82" i="1" s="1"/>
  <c r="EJ82" i="1" s="1"/>
  <c r="AI80" i="1"/>
  <c r="AL80" i="1" s="1"/>
  <c r="EJ80" i="1" s="1"/>
  <c r="AI78" i="1"/>
  <c r="AL78" i="1" s="1"/>
  <c r="EJ78" i="1" s="1"/>
  <c r="AI75" i="1"/>
  <c r="AL75" i="1" s="1"/>
  <c r="EJ75" i="1" s="1"/>
  <c r="AI67" i="1"/>
  <c r="AL67" i="1" s="1"/>
  <c r="EJ67" i="1" s="1"/>
  <c r="AI64" i="1"/>
  <c r="AL64" i="1" s="1"/>
  <c r="EJ64" i="1" s="1"/>
  <c r="AI54" i="1"/>
  <c r="AL54" i="1" s="1"/>
  <c r="EJ54" i="1" s="1"/>
  <c r="AI29" i="1"/>
  <c r="AL29" i="1" s="1"/>
  <c r="EJ29" i="1" s="1"/>
  <c r="AI28" i="1"/>
  <c r="AL28" i="1" s="1"/>
  <c r="EJ28" i="1" s="1"/>
  <c r="AI24" i="1"/>
  <c r="AL24" i="1" s="1"/>
  <c r="EJ24" i="1" s="1"/>
  <c r="AI14" i="1"/>
  <c r="AI9" i="1"/>
  <c r="AL9" i="1" s="1"/>
  <c r="EJ9" i="1" s="1"/>
  <c r="AI6" i="1"/>
  <c r="AL6" i="1" s="1"/>
  <c r="EJ6" i="1" s="1"/>
  <c r="AI93" i="1"/>
  <c r="AL93" i="1" s="1"/>
  <c r="EJ93" i="1" s="1"/>
  <c r="AH92" i="1"/>
  <c r="AH91" i="1"/>
  <c r="AH90" i="1"/>
  <c r="AH89" i="1"/>
  <c r="AH88" i="1"/>
  <c r="AH87" i="1"/>
  <c r="AH85" i="1"/>
  <c r="AH79" i="1"/>
  <c r="AH77" i="1"/>
  <c r="AH76" i="1"/>
  <c r="AH74" i="1"/>
  <c r="AH73" i="1"/>
  <c r="AH72" i="1"/>
  <c r="AH70" i="1"/>
  <c r="AH71" i="1" s="1"/>
  <c r="AI71" i="1" s="1"/>
  <c r="AL71" i="1" s="1"/>
  <c r="EJ71" i="1" s="1"/>
  <c r="AH69" i="1"/>
  <c r="AH68" i="1"/>
  <c r="AH66" i="1"/>
  <c r="AH65" i="1"/>
  <c r="AH62" i="1"/>
  <c r="AH63" i="1" s="1"/>
  <c r="AI63" i="1" s="1"/>
  <c r="AL63" i="1" s="1"/>
  <c r="EJ63" i="1" s="1"/>
  <c r="AH61" i="1"/>
  <c r="AH60" i="1"/>
  <c r="AH58" i="1"/>
  <c r="AH57" i="1"/>
  <c r="AH56" i="1"/>
  <c r="AH55" i="1"/>
  <c r="AH53" i="1"/>
  <c r="AH52" i="1"/>
  <c r="AH51" i="1"/>
  <c r="AH50" i="1"/>
  <c r="AH49" i="1"/>
  <c r="AH48" i="1"/>
  <c r="AH47" i="1"/>
  <c r="AH46" i="1"/>
  <c r="AH45" i="1"/>
  <c r="AH44" i="1"/>
  <c r="AH43" i="1"/>
  <c r="AH42" i="1"/>
  <c r="AH41" i="1"/>
  <c r="AH40" i="1"/>
  <c r="AH39" i="1"/>
  <c r="AH38" i="1"/>
  <c r="AH37" i="1"/>
  <c r="AH35" i="1"/>
  <c r="AH34" i="1"/>
  <c r="AH33" i="1"/>
  <c r="AH32" i="1"/>
  <c r="AH31" i="1"/>
  <c r="AH27" i="1"/>
  <c r="AH26" i="1"/>
  <c r="AH25" i="1"/>
  <c r="AH22" i="1"/>
  <c r="AH21" i="1"/>
  <c r="AH20" i="1"/>
  <c r="AH19" i="1"/>
  <c r="AH18" i="1"/>
  <c r="AH17" i="1"/>
  <c r="AH15" i="1"/>
  <c r="AH13" i="1"/>
  <c r="AH12" i="1"/>
  <c r="AH11" i="1"/>
  <c r="AH8" i="1"/>
  <c r="AH5" i="1"/>
  <c r="BU73" i="1" l="1"/>
  <c r="V23" i="13"/>
  <c r="V78" i="13"/>
  <c r="EC93" i="1"/>
  <c r="I51" i="13"/>
  <c r="EC46" i="1"/>
  <c r="I71" i="13"/>
  <c r="EC64" i="1"/>
  <c r="I46" i="13"/>
  <c r="EC34" i="1"/>
  <c r="I10" i="13"/>
  <c r="EC48" i="1"/>
  <c r="V45" i="13"/>
  <c r="EC13" i="1"/>
  <c r="I70" i="13"/>
  <c r="EC77" i="1"/>
  <c r="I19" i="13"/>
  <c r="EC89" i="1"/>
  <c r="I57" i="13"/>
  <c r="EC42" i="1"/>
  <c r="I54" i="13"/>
  <c r="EC38" i="1"/>
  <c r="V85" i="13"/>
  <c r="EC29" i="1"/>
  <c r="AB30" i="1"/>
  <c r="AC30" i="1" s="1"/>
  <c r="EA30" i="1"/>
  <c r="I2" i="13"/>
  <c r="EC53" i="1"/>
  <c r="I72" i="13"/>
  <c r="EC55" i="1"/>
  <c r="I9" i="13"/>
  <c r="EC76" i="1"/>
  <c r="I39" i="13"/>
  <c r="EC19" i="1"/>
  <c r="V86" i="13"/>
  <c r="EC70" i="1"/>
  <c r="I18" i="13"/>
  <c r="EC92" i="1"/>
  <c r="I25" i="13"/>
  <c r="EC18" i="1"/>
  <c r="I42" i="13"/>
  <c r="EC33" i="1"/>
  <c r="I21" i="13"/>
  <c r="EC20" i="1"/>
  <c r="I48" i="13"/>
  <c r="EC24" i="1"/>
  <c r="I61" i="13"/>
  <c r="EC56" i="1"/>
  <c r="I27" i="13"/>
  <c r="EC78" i="1"/>
  <c r="I35" i="13"/>
  <c r="EC21" i="1"/>
  <c r="I28" i="13"/>
  <c r="EC22" i="1"/>
  <c r="I20" i="13"/>
  <c r="EC49" i="1"/>
  <c r="I65" i="13"/>
  <c r="EC75" i="1"/>
  <c r="I31" i="13"/>
  <c r="EC58" i="1"/>
  <c r="BU72" i="1"/>
  <c r="EC72" i="1"/>
  <c r="I11" i="13"/>
  <c r="EC37" i="1"/>
  <c r="I38" i="13"/>
  <c r="EC27" i="1"/>
  <c r="I69" i="13"/>
  <c r="EC86" i="1"/>
  <c r="V44" i="13"/>
  <c r="EC69" i="1"/>
  <c r="I8" i="13"/>
  <c r="EC17" i="1"/>
  <c r="V77" i="13"/>
  <c r="EC62" i="1"/>
  <c r="I63" i="13"/>
  <c r="EC41" i="1"/>
  <c r="I55" i="13"/>
  <c r="EC68" i="1"/>
  <c r="D23" i="7"/>
  <c r="I74" i="13"/>
  <c r="I43" i="13"/>
  <c r="EC43" i="1"/>
  <c r="I33" i="13"/>
  <c r="EC40" i="1"/>
  <c r="I24" i="13"/>
  <c r="EC90" i="1"/>
  <c r="I60" i="13"/>
  <c r="EC45" i="1"/>
  <c r="L4" i="7"/>
  <c r="I56" i="13"/>
  <c r="EC32" i="1"/>
  <c r="I53" i="13"/>
  <c r="EC54" i="1"/>
  <c r="I30" i="13"/>
  <c r="EC74" i="1"/>
  <c r="I40" i="13"/>
  <c r="EC26" i="1"/>
  <c r="I3" i="13"/>
  <c r="EC47" i="1"/>
  <c r="I59" i="13"/>
  <c r="EC66" i="1"/>
  <c r="E61" i="7"/>
  <c r="E62" i="7"/>
  <c r="V12" i="13"/>
  <c r="L18" i="7"/>
  <c r="I75" i="13"/>
  <c r="L15" i="7"/>
  <c r="V76" i="13"/>
  <c r="E41" i="7"/>
  <c r="I4" i="13"/>
  <c r="E49" i="7"/>
  <c r="I50" i="13"/>
  <c r="E46" i="7"/>
  <c r="I62" i="13"/>
  <c r="L16" i="7"/>
  <c r="V67" i="13"/>
  <c r="E70" i="7"/>
  <c r="I14" i="13"/>
  <c r="V80" i="13"/>
  <c r="I80" i="13"/>
  <c r="E65" i="7"/>
  <c r="I6" i="13"/>
  <c r="E30" i="7"/>
  <c r="I58" i="13"/>
  <c r="E6" i="7"/>
  <c r="I34" i="13"/>
  <c r="E64" i="7"/>
  <c r="V87" i="13"/>
  <c r="E42" i="7"/>
  <c r="I5" i="13"/>
  <c r="E5" i="7"/>
  <c r="V22" i="13"/>
  <c r="E9" i="7"/>
  <c r="V7" i="13"/>
  <c r="E67" i="7"/>
  <c r="I26" i="13"/>
  <c r="F23" i="7"/>
  <c r="H52" i="13"/>
  <c r="BU85" i="1"/>
  <c r="J80" i="12" s="1"/>
  <c r="E17" i="7"/>
  <c r="I15" i="13"/>
  <c r="E23" i="7"/>
  <c r="I52" i="13"/>
  <c r="V84" i="13"/>
  <c r="I84" i="13"/>
  <c r="E66" i="7"/>
  <c r="I16" i="13"/>
  <c r="L12" i="7"/>
  <c r="V66" i="13"/>
  <c r="E35" i="7"/>
  <c r="I41" i="13"/>
  <c r="E51" i="7"/>
  <c r="I49" i="13"/>
  <c r="E27" i="7"/>
  <c r="I47" i="13"/>
  <c r="L5" i="7"/>
  <c r="V68" i="13"/>
  <c r="E7" i="7"/>
  <c r="I13" i="13"/>
  <c r="V32" i="13"/>
  <c r="I32" i="13"/>
  <c r="E48" i="7"/>
  <c r="V37" i="13"/>
  <c r="E59" i="7"/>
  <c r="V36" i="13"/>
  <c r="V88" i="13"/>
  <c r="I88" i="13"/>
  <c r="DA85" i="1"/>
  <c r="V81" i="14" s="1"/>
  <c r="S81" i="14" s="1"/>
  <c r="DA5" i="1"/>
  <c r="V5" i="14" s="1"/>
  <c r="S5" i="14" s="1"/>
  <c r="J4" i="12"/>
  <c r="DA73" i="1"/>
  <c r="V69" i="14" s="1"/>
  <c r="S69" i="14" s="1"/>
  <c r="J68" i="12"/>
  <c r="DA80" i="1"/>
  <c r="V76" i="14" s="1"/>
  <c r="S76" i="14" s="1"/>
  <c r="J75" i="12"/>
  <c r="CM72" i="1"/>
  <c r="CL72" i="1"/>
  <c r="BU83" i="1"/>
  <c r="K4" i="7"/>
  <c r="BU79" i="1"/>
  <c r="BU62" i="1"/>
  <c r="L20" i="7"/>
  <c r="AC62" i="1"/>
  <c r="U77" i="13" s="1"/>
  <c r="K20" i="7"/>
  <c r="BT70" i="1"/>
  <c r="F55" i="7"/>
  <c r="AC94" i="1"/>
  <c r="U68" i="13" s="1"/>
  <c r="K5" i="7"/>
  <c r="AC29" i="1"/>
  <c r="D22" i="7"/>
  <c r="AC80" i="1"/>
  <c r="U23" i="13" s="1"/>
  <c r="D61" i="7"/>
  <c r="BT5" i="1"/>
  <c r="M9" i="7"/>
  <c r="BU29" i="1"/>
  <c r="E22" i="7"/>
  <c r="AC63" i="1"/>
  <c r="K17" i="7"/>
  <c r="BU70" i="1"/>
  <c r="E55" i="7"/>
  <c r="BT83" i="1"/>
  <c r="F64" i="7"/>
  <c r="BU63" i="1"/>
  <c r="L17" i="7"/>
  <c r="BU10" i="1"/>
  <c r="L8" i="7"/>
  <c r="AC61" i="1"/>
  <c r="U67" i="13" s="1"/>
  <c r="K16" i="7"/>
  <c r="AC10" i="1"/>
  <c r="K8" i="7"/>
  <c r="BT73" i="1"/>
  <c r="M4" i="7"/>
  <c r="BT31" i="1"/>
  <c r="AC32" i="1"/>
  <c r="H56" i="13" s="1"/>
  <c r="D24" i="7"/>
  <c r="BU54" i="1"/>
  <c r="E44" i="7"/>
  <c r="BU93" i="1"/>
  <c r="L7" i="7"/>
  <c r="AC12" i="1"/>
  <c r="H13" i="13" s="1"/>
  <c r="D7" i="7"/>
  <c r="AC28" i="1"/>
  <c r="D20" i="7"/>
  <c r="BU46" i="1"/>
  <c r="E37" i="7"/>
  <c r="AC60" i="1"/>
  <c r="U37" i="13" s="1"/>
  <c r="D48" i="7"/>
  <c r="BU64" i="1"/>
  <c r="L23" i="7"/>
  <c r="BU34" i="1"/>
  <c r="E26" i="7"/>
  <c r="BU47" i="1"/>
  <c r="E38" i="7"/>
  <c r="BU66" i="1"/>
  <c r="E50" i="7"/>
  <c r="AC48" i="1"/>
  <c r="H10" i="13" s="1"/>
  <c r="D39" i="7"/>
  <c r="BU74" i="1"/>
  <c r="E56" i="7"/>
  <c r="AC35" i="1"/>
  <c r="H47" i="13" s="1"/>
  <c r="D27" i="7"/>
  <c r="AC64" i="1"/>
  <c r="H71" i="13" s="1"/>
  <c r="K23" i="7"/>
  <c r="AC34" i="1"/>
  <c r="H46" i="13" s="1"/>
  <c r="D26" i="7"/>
  <c r="AC47" i="1"/>
  <c r="H3" i="13" s="1"/>
  <c r="D38" i="7"/>
  <c r="AC66" i="1"/>
  <c r="H59" i="13" s="1"/>
  <c r="D50" i="7"/>
  <c r="BU48" i="1"/>
  <c r="E39" i="7"/>
  <c r="AC45" i="1"/>
  <c r="H60" i="13" s="1"/>
  <c r="D36" i="7"/>
  <c r="BU77" i="1"/>
  <c r="L11" i="7"/>
  <c r="AC53" i="1"/>
  <c r="H2" i="13" s="1"/>
  <c r="D43" i="7"/>
  <c r="BU89" i="1"/>
  <c r="E68" i="7"/>
  <c r="BU42" i="1"/>
  <c r="E33" i="7"/>
  <c r="BU38" i="1"/>
  <c r="E29" i="7"/>
  <c r="AC55" i="1"/>
  <c r="H72" i="13" s="1"/>
  <c r="K21" i="7"/>
  <c r="AC52" i="1"/>
  <c r="H75" i="13" s="1"/>
  <c r="K18" i="7"/>
  <c r="AC14" i="1"/>
  <c r="U76" i="13" s="1"/>
  <c r="K15" i="7"/>
  <c r="AC76" i="1"/>
  <c r="H9" i="13" s="1"/>
  <c r="D57" i="7"/>
  <c r="BU13" i="1"/>
  <c r="E8" i="7"/>
  <c r="BU55" i="1"/>
  <c r="L21" i="7"/>
  <c r="AC82" i="1"/>
  <c r="U12" i="13" s="1"/>
  <c r="D62" i="7"/>
  <c r="BU76" i="1"/>
  <c r="E57" i="7"/>
  <c r="AC79" i="1"/>
  <c r="U36" i="13" s="1"/>
  <c r="D59" i="7"/>
  <c r="AC13" i="1"/>
  <c r="U45" i="13" s="1"/>
  <c r="D8" i="7"/>
  <c r="AC24" i="1"/>
  <c r="H48" i="13" s="1"/>
  <c r="D16" i="7"/>
  <c r="AC56" i="1"/>
  <c r="H61" i="13" s="1"/>
  <c r="D45" i="7"/>
  <c r="BU92" i="1"/>
  <c r="E71" i="7"/>
  <c r="BU18" i="1"/>
  <c r="E11" i="7"/>
  <c r="BU33" i="1"/>
  <c r="E25" i="7"/>
  <c r="BU20" i="1"/>
  <c r="E13" i="7"/>
  <c r="BU19" i="1"/>
  <c r="E12" i="7"/>
  <c r="BU26" i="1"/>
  <c r="E18" i="7"/>
  <c r="AC46" i="1"/>
  <c r="H51" i="13" s="1"/>
  <c r="D37" i="7"/>
  <c r="AC65" i="1"/>
  <c r="H50" i="13" s="1"/>
  <c r="D49" i="7"/>
  <c r="AC57" i="1"/>
  <c r="H62" i="13" s="1"/>
  <c r="D46" i="7"/>
  <c r="BU56" i="1"/>
  <c r="E45" i="7"/>
  <c r="AC91" i="1"/>
  <c r="H14" i="13" s="1"/>
  <c r="D70" i="7"/>
  <c r="AC92" i="1"/>
  <c r="H18" i="13" s="1"/>
  <c r="D71" i="7"/>
  <c r="AC18" i="1"/>
  <c r="H25" i="13" s="1"/>
  <c r="D11" i="7"/>
  <c r="AC33" i="1"/>
  <c r="H42" i="13" s="1"/>
  <c r="D25" i="7"/>
  <c r="AC20" i="1"/>
  <c r="H21" i="13" s="1"/>
  <c r="D13" i="7"/>
  <c r="AC50" i="1"/>
  <c r="H4" i="13" s="1"/>
  <c r="D41" i="7"/>
  <c r="AC19" i="1"/>
  <c r="H39" i="13" s="1"/>
  <c r="D12" i="7"/>
  <c r="AC90" i="1"/>
  <c r="H24" i="13" s="1"/>
  <c r="D69" i="7"/>
  <c r="AC42" i="1"/>
  <c r="H57" i="13" s="1"/>
  <c r="D33" i="7"/>
  <c r="BU21" i="1"/>
  <c r="E14" i="7"/>
  <c r="BU22" i="1"/>
  <c r="E15" i="7"/>
  <c r="BU49" i="1"/>
  <c r="E40" i="7"/>
  <c r="BU75" i="1"/>
  <c r="L22" i="7"/>
  <c r="BU58" i="1"/>
  <c r="E47" i="7"/>
  <c r="AC37" i="1"/>
  <c r="H11" i="13" s="1"/>
  <c r="D28" i="7"/>
  <c r="AC27" i="1"/>
  <c r="H38" i="13" s="1"/>
  <c r="D19" i="7"/>
  <c r="AC86" i="1"/>
  <c r="H69" i="13" s="1"/>
  <c r="K19" i="7"/>
  <c r="BU78" i="1"/>
  <c r="E58" i="7"/>
  <c r="BU96" i="1"/>
  <c r="L6" i="7"/>
  <c r="AC93" i="1"/>
  <c r="U78" i="13" s="1"/>
  <c r="K7" i="7"/>
  <c r="AC38" i="1"/>
  <c r="H54" i="13" s="1"/>
  <c r="D29" i="7"/>
  <c r="AC21" i="1"/>
  <c r="H35" i="13" s="1"/>
  <c r="D14" i="7"/>
  <c r="AC22" i="1"/>
  <c r="H28" i="13" s="1"/>
  <c r="D15" i="7"/>
  <c r="AC49" i="1"/>
  <c r="H20" i="13" s="1"/>
  <c r="D40" i="7"/>
  <c r="AC39" i="1"/>
  <c r="H58" i="13" s="1"/>
  <c r="D30" i="7"/>
  <c r="AC75" i="1"/>
  <c r="H65" i="13" s="1"/>
  <c r="K22" i="7"/>
  <c r="AC58" i="1"/>
  <c r="H31" i="13" s="1"/>
  <c r="D47" i="7"/>
  <c r="BU37" i="1"/>
  <c r="E28" i="7"/>
  <c r="BU27" i="1"/>
  <c r="E19" i="7"/>
  <c r="BU86" i="1"/>
  <c r="L19" i="7"/>
  <c r="AC85" i="1"/>
  <c r="H6" i="13" s="1"/>
  <c r="D65" i="7"/>
  <c r="AC78" i="1"/>
  <c r="H27" i="13" s="1"/>
  <c r="D58" i="7"/>
  <c r="AC25" i="1"/>
  <c r="H15" i="13" s="1"/>
  <c r="D17" i="7"/>
  <c r="AC77" i="1"/>
  <c r="H70" i="13" s="1"/>
  <c r="K11" i="7"/>
  <c r="BU24" i="1"/>
  <c r="E16" i="7"/>
  <c r="AC43" i="1"/>
  <c r="H43" i="13" s="1"/>
  <c r="D34" i="7"/>
  <c r="AC40" i="1"/>
  <c r="H33" i="13" s="1"/>
  <c r="D31" i="7"/>
  <c r="AC15" i="1"/>
  <c r="U7" i="13" s="1"/>
  <c r="D9" i="7"/>
  <c r="BU69" i="1"/>
  <c r="E53" i="7"/>
  <c r="BU17" i="1"/>
  <c r="E10" i="7"/>
  <c r="AC88" i="1"/>
  <c r="H26" i="13" s="1"/>
  <c r="D67" i="7"/>
  <c r="BU41" i="1"/>
  <c r="E32" i="7"/>
  <c r="AC68" i="1"/>
  <c r="H55" i="13" s="1"/>
  <c r="D52" i="7"/>
  <c r="BU53" i="1"/>
  <c r="E43" i="7"/>
  <c r="BU43" i="1"/>
  <c r="E34" i="7"/>
  <c r="BU40" i="1"/>
  <c r="E31" i="7"/>
  <c r="AC51" i="1"/>
  <c r="H5" i="13" s="1"/>
  <c r="D42" i="7"/>
  <c r="AC69" i="1"/>
  <c r="U44" i="13" s="1"/>
  <c r="D53" i="7"/>
  <c r="AC17" i="1"/>
  <c r="H8" i="13" s="1"/>
  <c r="D10" i="7"/>
  <c r="AC41" i="1"/>
  <c r="H63" i="13" s="1"/>
  <c r="D32" i="7"/>
  <c r="AC8" i="1"/>
  <c r="U22" i="13" s="1"/>
  <c r="D5" i="7"/>
  <c r="BU68" i="1"/>
  <c r="E52" i="7"/>
  <c r="AC11" i="1"/>
  <c r="H34" i="13" s="1"/>
  <c r="D6" i="7"/>
  <c r="BU28" i="1"/>
  <c r="E20" i="7"/>
  <c r="AC89" i="1"/>
  <c r="H19" i="13" s="1"/>
  <c r="D68" i="7"/>
  <c r="AC87" i="1"/>
  <c r="H16" i="13" s="1"/>
  <c r="D66" i="7"/>
  <c r="BU32" i="1"/>
  <c r="E24" i="7"/>
  <c r="AC54" i="1"/>
  <c r="H53" i="13" s="1"/>
  <c r="D44" i="7"/>
  <c r="AC74" i="1"/>
  <c r="H30" i="13" s="1"/>
  <c r="D56" i="7"/>
  <c r="AC26" i="1"/>
  <c r="H40" i="13" s="1"/>
  <c r="D18" i="7"/>
  <c r="AC9" i="1"/>
  <c r="U66" i="13" s="1"/>
  <c r="K12" i="7"/>
  <c r="AC44" i="1"/>
  <c r="H41" i="13" s="1"/>
  <c r="D35" i="7"/>
  <c r="AC67" i="1"/>
  <c r="H49" i="13" s="1"/>
  <c r="D51" i="7"/>
  <c r="BU90" i="1"/>
  <c r="E69" i="7"/>
  <c r="BU45" i="1"/>
  <c r="E36" i="7"/>
  <c r="AC96" i="1"/>
  <c r="K6" i="7"/>
  <c r="AI16" i="1"/>
  <c r="AL16" i="1" s="1"/>
  <c r="EJ16" i="1" s="1"/>
  <c r="AL14" i="1"/>
  <c r="EJ14" i="1" s="1"/>
  <c r="AB16" i="1"/>
  <c r="BG16" i="1"/>
  <c r="EC16" i="1" s="1"/>
  <c r="BU14" i="1"/>
  <c r="BU60" i="1"/>
  <c r="BU88" i="1"/>
  <c r="BU12" i="1"/>
  <c r="BG30" i="1"/>
  <c r="EC30" i="1" s="1"/>
  <c r="BU15" i="1"/>
  <c r="BU61" i="1"/>
  <c r="BU67" i="1"/>
  <c r="BU9" i="1"/>
  <c r="AJ63" i="1"/>
  <c r="EH63" i="1" s="1"/>
  <c r="AK63" i="1"/>
  <c r="BU52" i="1"/>
  <c r="BU87" i="1"/>
  <c r="BG84" i="1"/>
  <c r="EC84" i="1" s="1"/>
  <c r="AB84" i="1"/>
  <c r="BU44" i="1"/>
  <c r="BU31" i="1"/>
  <c r="BG81" i="1"/>
  <c r="EC81" i="1" s="1"/>
  <c r="AB81" i="1"/>
  <c r="AK71" i="1"/>
  <c r="EI71" i="1" s="1"/>
  <c r="AJ71" i="1"/>
  <c r="EH71" i="1" s="1"/>
  <c r="BG71" i="1"/>
  <c r="EC71" i="1" s="1"/>
  <c r="AB71" i="1"/>
  <c r="BU82" i="1"/>
  <c r="BU91" i="1"/>
  <c r="BU25" i="1"/>
  <c r="BU57" i="1"/>
  <c r="BU39" i="1"/>
  <c r="BU65" i="1"/>
  <c r="BU8" i="1"/>
  <c r="BU51" i="1"/>
  <c r="BU35" i="1"/>
  <c r="BU94" i="1"/>
  <c r="BU50" i="1"/>
  <c r="BU11" i="1"/>
  <c r="AK24" i="1"/>
  <c r="EI24" i="1" s="1"/>
  <c r="AI85" i="1"/>
  <c r="AK28" i="1"/>
  <c r="EI28" i="1" s="1"/>
  <c r="AI79" i="1"/>
  <c r="AI65" i="1"/>
  <c r="AI49" i="1"/>
  <c r="AL49" i="1" s="1"/>
  <c r="EJ49" i="1" s="1"/>
  <c r="AI88" i="1"/>
  <c r="AL88" i="1" s="1"/>
  <c r="EJ88" i="1" s="1"/>
  <c r="AK54" i="1"/>
  <c r="AI47" i="1"/>
  <c r="AI62" i="1"/>
  <c r="AL62" i="1" s="1"/>
  <c r="EJ62" i="1" s="1"/>
  <c r="AI20" i="1"/>
  <c r="AL20" i="1" s="1"/>
  <c r="EJ20" i="1" s="1"/>
  <c r="AI35" i="1"/>
  <c r="AL35" i="1" s="1"/>
  <c r="EJ35" i="1" s="1"/>
  <c r="AI66" i="1"/>
  <c r="AL66" i="1" s="1"/>
  <c r="EJ66" i="1" s="1"/>
  <c r="AI40" i="1"/>
  <c r="AK67" i="1"/>
  <c r="EI67" i="1" s="1"/>
  <c r="AI89" i="1"/>
  <c r="AL89" i="1" s="1"/>
  <c r="EJ89" i="1" s="1"/>
  <c r="AI91" i="1"/>
  <c r="AL91" i="1" s="1"/>
  <c r="EJ91" i="1" s="1"/>
  <c r="AI19" i="1"/>
  <c r="AL19" i="1" s="1"/>
  <c r="EJ19" i="1" s="1"/>
  <c r="AI21" i="1"/>
  <c r="AL21" i="1" s="1"/>
  <c r="EJ21" i="1" s="1"/>
  <c r="AK64" i="1"/>
  <c r="AI90" i="1"/>
  <c r="AL90" i="1" s="1"/>
  <c r="EJ90" i="1" s="1"/>
  <c r="AI53" i="1"/>
  <c r="AK75" i="1"/>
  <c r="AI26" i="1"/>
  <c r="AI42" i="1"/>
  <c r="AI55" i="1"/>
  <c r="AL55" i="1" s="1"/>
  <c r="EJ55" i="1" s="1"/>
  <c r="AI72" i="1"/>
  <c r="AL72" i="1" s="1"/>
  <c r="EJ72" i="1" s="1"/>
  <c r="AI92" i="1"/>
  <c r="AK78" i="1"/>
  <c r="AI48" i="1"/>
  <c r="AL48" i="1" s="1"/>
  <c r="EJ48" i="1" s="1"/>
  <c r="AI50" i="1"/>
  <c r="AL50" i="1" s="1"/>
  <c r="EJ50" i="1" s="1"/>
  <c r="AI22" i="1"/>
  <c r="AL22" i="1" s="1"/>
  <c r="EJ22" i="1" s="1"/>
  <c r="AI41" i="1"/>
  <c r="AI27" i="1"/>
  <c r="AI43" i="1"/>
  <c r="AI56" i="1"/>
  <c r="AL56" i="1" s="1"/>
  <c r="EJ56" i="1" s="1"/>
  <c r="AI73" i="1"/>
  <c r="AL73" i="1" s="1"/>
  <c r="EJ73" i="1" s="1"/>
  <c r="AK93" i="1"/>
  <c r="EI93" i="1" s="1"/>
  <c r="AK80" i="1"/>
  <c r="AI34" i="1"/>
  <c r="AL34" i="1" s="1"/>
  <c r="EJ34" i="1" s="1"/>
  <c r="AI87" i="1"/>
  <c r="AL87" i="1" s="1"/>
  <c r="EJ87" i="1" s="1"/>
  <c r="AI38" i="1"/>
  <c r="AL38" i="1" s="1"/>
  <c r="EJ38" i="1" s="1"/>
  <c r="AI68" i="1"/>
  <c r="AL68" i="1" s="1"/>
  <c r="EJ68" i="1" s="1"/>
  <c r="AI69" i="1"/>
  <c r="AL69" i="1" s="1"/>
  <c r="EJ69" i="1" s="1"/>
  <c r="AI25" i="1"/>
  <c r="AL25" i="1" s="1"/>
  <c r="EJ25" i="1" s="1"/>
  <c r="AI12" i="1"/>
  <c r="AL12" i="1" s="1"/>
  <c r="EJ12" i="1" s="1"/>
  <c r="AI31" i="1"/>
  <c r="AL31" i="1" s="1"/>
  <c r="EJ31" i="1" s="1"/>
  <c r="AI44" i="1"/>
  <c r="AI57" i="1"/>
  <c r="AL57" i="1" s="1"/>
  <c r="EJ57" i="1" s="1"/>
  <c r="AI74" i="1"/>
  <c r="AL74" i="1" s="1"/>
  <c r="EJ74" i="1" s="1"/>
  <c r="AK6" i="1"/>
  <c r="AK82" i="1"/>
  <c r="EI82" i="1" s="1"/>
  <c r="AI17" i="1"/>
  <c r="AL17" i="1" s="1"/>
  <c r="EJ17" i="1" s="1"/>
  <c r="AI37" i="1"/>
  <c r="AL37" i="1" s="1"/>
  <c r="EJ37" i="1" s="1"/>
  <c r="AI51" i="1"/>
  <c r="AL51" i="1" s="1"/>
  <c r="EJ51" i="1" s="1"/>
  <c r="AI52" i="1"/>
  <c r="AI5" i="1"/>
  <c r="AL5" i="1" s="1"/>
  <c r="EJ5" i="1" s="1"/>
  <c r="AI11" i="1"/>
  <c r="AL11" i="1" s="1"/>
  <c r="EJ11" i="1" s="1"/>
  <c r="AI13" i="1"/>
  <c r="AI32" i="1"/>
  <c r="AL32" i="1" s="1"/>
  <c r="EJ32" i="1" s="1"/>
  <c r="AI45" i="1"/>
  <c r="AL45" i="1" s="1"/>
  <c r="EJ45" i="1" s="1"/>
  <c r="AI58" i="1"/>
  <c r="AL58" i="1" s="1"/>
  <c r="EJ58" i="1" s="1"/>
  <c r="AI76" i="1"/>
  <c r="AL76" i="1" s="1"/>
  <c r="EJ76" i="1" s="1"/>
  <c r="AK9" i="1"/>
  <c r="EI9" i="1" s="1"/>
  <c r="AK83" i="1"/>
  <c r="AI61" i="1"/>
  <c r="AL61" i="1" s="1"/>
  <c r="EJ61" i="1" s="1"/>
  <c r="AI18" i="1"/>
  <c r="AL18" i="1" s="1"/>
  <c r="EJ18" i="1" s="1"/>
  <c r="AK29" i="1"/>
  <c r="EI29" i="1" s="1"/>
  <c r="AI39" i="1"/>
  <c r="AL39" i="1" s="1"/>
  <c r="EJ39" i="1" s="1"/>
  <c r="AI70" i="1"/>
  <c r="AL70" i="1" s="1"/>
  <c r="EJ70" i="1" s="1"/>
  <c r="AI8" i="1"/>
  <c r="AL8" i="1" s="1"/>
  <c r="EJ8" i="1" s="1"/>
  <c r="AI15" i="1"/>
  <c r="AI33" i="1"/>
  <c r="AL33" i="1" s="1"/>
  <c r="EJ33" i="1" s="1"/>
  <c r="AI46" i="1"/>
  <c r="AL46" i="1" s="1"/>
  <c r="EJ46" i="1" s="1"/>
  <c r="AI60" i="1"/>
  <c r="AL60" i="1" s="1"/>
  <c r="EJ60" i="1" s="1"/>
  <c r="AI77" i="1"/>
  <c r="AL77" i="1" s="1"/>
  <c r="EJ77" i="1" s="1"/>
  <c r="AK14" i="1"/>
  <c r="EI14" i="1" s="1"/>
  <c r="AK86" i="1"/>
  <c r="AF26" i="4"/>
  <c r="AE26" i="4"/>
  <c r="AG26" i="4"/>
  <c r="W26" i="4"/>
  <c r="AC26" i="4"/>
  <c r="AA26" i="4"/>
  <c r="AH26" i="4"/>
  <c r="AK26" i="4"/>
  <c r="Y26" i="4"/>
  <c r="AJ26" i="4"/>
  <c r="S26" i="4"/>
  <c r="AI26" i="4"/>
  <c r="T26" i="4"/>
  <c r="AL26" i="4"/>
  <c r="V26" i="4"/>
  <c r="AM26" i="4"/>
  <c r="AB26" i="4"/>
  <c r="AN26" i="4"/>
  <c r="AD26" i="4"/>
  <c r="U26" i="4"/>
  <c r="AO26" i="4"/>
  <c r="Z26" i="4"/>
  <c r="X26" i="4"/>
  <c r="N27" i="4"/>
  <c r="O27" i="4"/>
  <c r="P27" i="4" s="1"/>
  <c r="Q25" i="4"/>
  <c r="H29" i="4"/>
  <c r="I28" i="4"/>
  <c r="G29" i="4"/>
  <c r="F30" i="4"/>
  <c r="AJ86" i="1"/>
  <c r="EH86" i="1" s="1"/>
  <c r="AJ6" i="1"/>
  <c r="EH6" i="1" s="1"/>
  <c r="AJ24" i="1"/>
  <c r="EH24" i="1" s="1"/>
  <c r="AJ64" i="1"/>
  <c r="EH64" i="1" s="1"/>
  <c r="AJ83" i="1"/>
  <c r="EH83" i="1" s="1"/>
  <c r="AJ9" i="1"/>
  <c r="EH9" i="1" s="1"/>
  <c r="AJ75" i="1"/>
  <c r="EH75" i="1" s="1"/>
  <c r="AJ78" i="1"/>
  <c r="EH78" i="1" s="1"/>
  <c r="AJ14" i="1"/>
  <c r="AJ93" i="1"/>
  <c r="EH93" i="1" s="1"/>
  <c r="AJ28" i="1"/>
  <c r="EH28" i="1" s="1"/>
  <c r="AJ54" i="1"/>
  <c r="EH54" i="1" s="1"/>
  <c r="AJ67" i="1"/>
  <c r="EH67" i="1" s="1"/>
  <c r="AJ80" i="1"/>
  <c r="EH80" i="1" s="1"/>
  <c r="AJ29" i="1"/>
  <c r="EH29" i="1" s="1"/>
  <c r="AJ82" i="1"/>
  <c r="EH82" i="1" s="1"/>
  <c r="AR63" i="1" l="1"/>
  <c r="EG63" i="1" s="1"/>
  <c r="EI63" i="1"/>
  <c r="AR75" i="1"/>
  <c r="EG75" i="1" s="1"/>
  <c r="EI75" i="1"/>
  <c r="AJ16" i="1"/>
  <c r="EH16" i="1" s="1"/>
  <c r="EH14" i="1"/>
  <c r="AR64" i="1"/>
  <c r="EG64" i="1" s="1"/>
  <c r="EI64" i="1"/>
  <c r="AR54" i="1"/>
  <c r="EG54" i="1" s="1"/>
  <c r="EI54" i="1"/>
  <c r="AR86" i="1"/>
  <c r="EG86" i="1" s="1"/>
  <c r="EI86" i="1"/>
  <c r="AR83" i="1"/>
  <c r="EG83" i="1" s="1"/>
  <c r="EI83" i="1"/>
  <c r="AR78" i="1"/>
  <c r="EG78" i="1" s="1"/>
  <c r="EI78" i="1"/>
  <c r="AR6" i="1"/>
  <c r="EG6" i="1" s="1"/>
  <c r="EI6" i="1"/>
  <c r="AR80" i="1"/>
  <c r="EG80" i="1" s="1"/>
  <c r="EI80" i="1"/>
  <c r="D21" i="7"/>
  <c r="I4" i="12"/>
  <c r="EE5" i="1"/>
  <c r="I29" i="12"/>
  <c r="EE31" i="1"/>
  <c r="I78" i="12"/>
  <c r="EE83" i="1"/>
  <c r="I68" i="12"/>
  <c r="EE73" i="1"/>
  <c r="I66" i="12"/>
  <c r="EE70" i="1"/>
  <c r="I79" i="13"/>
  <c r="V79" i="13"/>
  <c r="H32" i="13"/>
  <c r="U32" i="13"/>
  <c r="U88" i="13"/>
  <c r="H88" i="13"/>
  <c r="H80" i="13"/>
  <c r="U80" i="13"/>
  <c r="I83" i="13"/>
  <c r="V83" i="13"/>
  <c r="I89" i="13"/>
  <c r="V89" i="13"/>
  <c r="V81" i="13"/>
  <c r="I81" i="13"/>
  <c r="F22" i="7"/>
  <c r="U85" i="13"/>
  <c r="U79" i="13"/>
  <c r="H79" i="13"/>
  <c r="U84" i="13"/>
  <c r="H84" i="13"/>
  <c r="V82" i="13"/>
  <c r="I82" i="13"/>
  <c r="DA63" i="1"/>
  <c r="V60" i="14" s="1"/>
  <c r="S60" i="14" s="1"/>
  <c r="J59" i="12"/>
  <c r="DA94" i="1"/>
  <c r="V90" i="14" s="1"/>
  <c r="S90" i="14" s="1"/>
  <c r="J89" i="12"/>
  <c r="DA9" i="1"/>
  <c r="V9" i="14" s="1"/>
  <c r="S9" i="14" s="1"/>
  <c r="J8" i="12"/>
  <c r="DA96" i="1"/>
  <c r="V92" i="14" s="1"/>
  <c r="S92" i="14" s="1"/>
  <c r="J91" i="12"/>
  <c r="DA75" i="1"/>
  <c r="V71" i="14" s="1"/>
  <c r="S71" i="14" s="1"/>
  <c r="J70" i="12"/>
  <c r="DA19" i="1"/>
  <c r="V19" i="14" s="1"/>
  <c r="S19" i="14" s="1"/>
  <c r="J18" i="12"/>
  <c r="DA55" i="1"/>
  <c r="V53" i="14" s="1"/>
  <c r="S53" i="14" s="1"/>
  <c r="J52" i="12"/>
  <c r="DA38" i="1"/>
  <c r="V36" i="14" s="1"/>
  <c r="S36" i="14" s="1"/>
  <c r="J35" i="12"/>
  <c r="DA48" i="1"/>
  <c r="V46" i="14" s="1"/>
  <c r="S46" i="14" s="1"/>
  <c r="J45" i="12"/>
  <c r="DA74" i="1"/>
  <c r="V70" i="14" s="1"/>
  <c r="S70" i="14" s="1"/>
  <c r="J69" i="12"/>
  <c r="DA83" i="1"/>
  <c r="V79" i="14" s="1"/>
  <c r="S79" i="14" s="1"/>
  <c r="J78" i="12"/>
  <c r="DA67" i="1"/>
  <c r="V64" i="14" s="1"/>
  <c r="S64" i="14" s="1"/>
  <c r="J63" i="12"/>
  <c r="DA61" i="1"/>
  <c r="V58" i="14" s="1"/>
  <c r="S58" i="14" s="1"/>
  <c r="J57" i="12"/>
  <c r="DA28" i="1"/>
  <c r="V27" i="14" s="1"/>
  <c r="S27" i="14" s="1"/>
  <c r="J26" i="12"/>
  <c r="DA41" i="1"/>
  <c r="V39" i="14" s="1"/>
  <c r="S39" i="14" s="1"/>
  <c r="J38" i="12"/>
  <c r="DA86" i="1"/>
  <c r="V82" i="14" s="1"/>
  <c r="S82" i="14" s="1"/>
  <c r="J81" i="12"/>
  <c r="DA78" i="1"/>
  <c r="V74" i="14" s="1"/>
  <c r="S74" i="14" s="1"/>
  <c r="J73" i="12"/>
  <c r="DA49" i="1"/>
  <c r="V47" i="14" s="1"/>
  <c r="S47" i="14" s="1"/>
  <c r="J46" i="12"/>
  <c r="DA56" i="1"/>
  <c r="V54" i="14" s="1"/>
  <c r="S54" i="14" s="1"/>
  <c r="J53" i="12"/>
  <c r="DA20" i="1"/>
  <c r="V20" i="14" s="1"/>
  <c r="S20" i="14" s="1"/>
  <c r="J19" i="12"/>
  <c r="DA13" i="1"/>
  <c r="V13" i="14" s="1"/>
  <c r="S13" i="14" s="1"/>
  <c r="J12" i="12"/>
  <c r="DA42" i="1"/>
  <c r="V40" i="14" s="1"/>
  <c r="S40" i="14" s="1"/>
  <c r="J39" i="12"/>
  <c r="DA46" i="1"/>
  <c r="V44" i="14" s="1"/>
  <c r="S44" i="14" s="1"/>
  <c r="J43" i="12"/>
  <c r="DA51" i="1"/>
  <c r="V49" i="14" s="1"/>
  <c r="S49" i="14" s="1"/>
  <c r="J48" i="12"/>
  <c r="DA8" i="1"/>
  <c r="V8" i="14" s="1"/>
  <c r="S8" i="14" s="1"/>
  <c r="J7" i="12"/>
  <c r="DA15" i="1"/>
  <c r="V15" i="14" s="1"/>
  <c r="S15" i="14" s="1"/>
  <c r="J14" i="12"/>
  <c r="DA70" i="1"/>
  <c r="V67" i="14" s="1"/>
  <c r="S67" i="14" s="1"/>
  <c r="J66" i="12"/>
  <c r="DA65" i="1"/>
  <c r="V62" i="14" s="1"/>
  <c r="S62" i="14" s="1"/>
  <c r="J61" i="12"/>
  <c r="DA45" i="1"/>
  <c r="V43" i="14" s="1"/>
  <c r="S43" i="14" s="1"/>
  <c r="J42" i="12"/>
  <c r="DA24" i="1"/>
  <c r="V23" i="14" s="1"/>
  <c r="S23" i="14" s="1"/>
  <c r="J22" i="12"/>
  <c r="DA27" i="1"/>
  <c r="V26" i="14" s="1"/>
  <c r="S26" i="14" s="1"/>
  <c r="J25" i="12"/>
  <c r="DA22" i="1"/>
  <c r="V22" i="14" s="1"/>
  <c r="S22" i="14" s="1"/>
  <c r="J21" i="12"/>
  <c r="DA33" i="1"/>
  <c r="V32" i="14" s="1"/>
  <c r="S32" i="14" s="1"/>
  <c r="J31" i="12"/>
  <c r="DA89" i="1"/>
  <c r="V85" i="14" s="1"/>
  <c r="S85" i="14" s="1"/>
  <c r="J84" i="12"/>
  <c r="DA66" i="1"/>
  <c r="V63" i="14" s="1"/>
  <c r="S63" i="14" s="1"/>
  <c r="J62" i="12"/>
  <c r="DA39" i="1"/>
  <c r="V37" i="14" s="1"/>
  <c r="S37" i="14" s="1"/>
  <c r="J36" i="12"/>
  <c r="DA44" i="1"/>
  <c r="V42" i="14" s="1"/>
  <c r="S42" i="14" s="1"/>
  <c r="J41" i="12"/>
  <c r="DA12" i="1"/>
  <c r="V12" i="14" s="1"/>
  <c r="S12" i="14" s="1"/>
  <c r="J11" i="12"/>
  <c r="DA57" i="1"/>
  <c r="V55" i="14" s="1"/>
  <c r="S55" i="14" s="1"/>
  <c r="J54" i="12"/>
  <c r="DA88" i="1"/>
  <c r="V84" i="14" s="1"/>
  <c r="S84" i="14" s="1"/>
  <c r="J83" i="12"/>
  <c r="DA90" i="1"/>
  <c r="V86" i="14" s="1"/>
  <c r="S86" i="14" s="1"/>
  <c r="J85" i="12"/>
  <c r="DA68" i="1"/>
  <c r="V65" i="14" s="1"/>
  <c r="S65" i="14" s="1"/>
  <c r="J64" i="12"/>
  <c r="DA40" i="1"/>
  <c r="V38" i="14" s="1"/>
  <c r="S38" i="14" s="1"/>
  <c r="J37" i="12"/>
  <c r="DA17" i="1"/>
  <c r="V17" i="14" s="1"/>
  <c r="S17" i="14" s="1"/>
  <c r="J16" i="12"/>
  <c r="DA37" i="1"/>
  <c r="V35" i="14" s="1"/>
  <c r="S35" i="14" s="1"/>
  <c r="J34" i="12"/>
  <c r="DA21" i="1"/>
  <c r="V21" i="14" s="1"/>
  <c r="S21" i="14" s="1"/>
  <c r="J20" i="12"/>
  <c r="DA18" i="1"/>
  <c r="V18" i="14" s="1"/>
  <c r="S18" i="14" s="1"/>
  <c r="J17" i="12"/>
  <c r="DA47" i="1"/>
  <c r="V45" i="14" s="1"/>
  <c r="S45" i="14" s="1"/>
  <c r="J44" i="12"/>
  <c r="DA50" i="1"/>
  <c r="V48" i="14" s="1"/>
  <c r="S48" i="14" s="1"/>
  <c r="J47" i="12"/>
  <c r="DA25" i="1"/>
  <c r="V24" i="14" s="1"/>
  <c r="S24" i="14" s="1"/>
  <c r="J23" i="12"/>
  <c r="DA60" i="1"/>
  <c r="V57" i="14" s="1"/>
  <c r="S57" i="14" s="1"/>
  <c r="J56" i="12"/>
  <c r="DA29" i="1"/>
  <c r="V28" i="14" s="1"/>
  <c r="S28" i="14" s="1"/>
  <c r="J27" i="12"/>
  <c r="DA91" i="1"/>
  <c r="V87" i="14" s="1"/>
  <c r="S87" i="14" s="1"/>
  <c r="J86" i="12"/>
  <c r="DA87" i="1"/>
  <c r="V83" i="14" s="1"/>
  <c r="S83" i="14" s="1"/>
  <c r="J82" i="12"/>
  <c r="DA14" i="1"/>
  <c r="V14" i="14" s="1"/>
  <c r="S14" i="14" s="1"/>
  <c r="J13" i="12"/>
  <c r="DA32" i="1"/>
  <c r="V31" i="14" s="1"/>
  <c r="S31" i="14" s="1"/>
  <c r="J30" i="12"/>
  <c r="DA43" i="1"/>
  <c r="V41" i="14" s="1"/>
  <c r="S41" i="14" s="1"/>
  <c r="J40" i="12"/>
  <c r="DA69" i="1"/>
  <c r="V66" i="14" s="1"/>
  <c r="S66" i="14" s="1"/>
  <c r="J65" i="12"/>
  <c r="DA92" i="1"/>
  <c r="V88" i="14" s="1"/>
  <c r="S88" i="14" s="1"/>
  <c r="J87" i="12"/>
  <c r="DA76" i="1"/>
  <c r="V72" i="14" s="1"/>
  <c r="S72" i="14" s="1"/>
  <c r="J71" i="12"/>
  <c r="DA77" i="1"/>
  <c r="V73" i="14" s="1"/>
  <c r="S73" i="14" s="1"/>
  <c r="J72" i="12"/>
  <c r="DA34" i="1"/>
  <c r="V33" i="14" s="1"/>
  <c r="S33" i="14" s="1"/>
  <c r="J32" i="12"/>
  <c r="DA93" i="1"/>
  <c r="V89" i="14" s="1"/>
  <c r="S89" i="14" s="1"/>
  <c r="J88" i="12"/>
  <c r="DA35" i="1"/>
  <c r="V34" i="14" s="1"/>
  <c r="S34" i="14" s="1"/>
  <c r="J33" i="12"/>
  <c r="DA31" i="1"/>
  <c r="V30" i="14" s="1"/>
  <c r="S30" i="14" s="1"/>
  <c r="J29" i="12"/>
  <c r="DA82" i="1"/>
  <c r="V78" i="14" s="1"/>
  <c r="S78" i="14" s="1"/>
  <c r="J77" i="12"/>
  <c r="DA52" i="1"/>
  <c r="V50" i="14" s="1"/>
  <c r="S50" i="14" s="1"/>
  <c r="J49" i="12"/>
  <c r="DA10" i="1"/>
  <c r="V10" i="14" s="1"/>
  <c r="S10" i="14" s="1"/>
  <c r="J9" i="12"/>
  <c r="DA62" i="1"/>
  <c r="V59" i="14" s="1"/>
  <c r="S59" i="14" s="1"/>
  <c r="J58" i="12"/>
  <c r="DA11" i="1"/>
  <c r="V11" i="14" s="1"/>
  <c r="S11" i="14" s="1"/>
  <c r="J10" i="12"/>
  <c r="DA53" i="1"/>
  <c r="V51" i="14" s="1"/>
  <c r="S51" i="14" s="1"/>
  <c r="J50" i="12"/>
  <c r="DA58" i="1"/>
  <c r="V56" i="14" s="1"/>
  <c r="S56" i="14" s="1"/>
  <c r="J55" i="12"/>
  <c r="DA26" i="1"/>
  <c r="V25" i="14" s="1"/>
  <c r="S25" i="14" s="1"/>
  <c r="J24" i="12"/>
  <c r="DA64" i="1"/>
  <c r="V61" i="14" s="1"/>
  <c r="S61" i="14" s="1"/>
  <c r="J60" i="12"/>
  <c r="DA54" i="1"/>
  <c r="V52" i="14" s="1"/>
  <c r="S52" i="14" s="1"/>
  <c r="J51" i="12"/>
  <c r="DA79" i="1"/>
  <c r="V75" i="14" s="1"/>
  <c r="S75" i="14" s="1"/>
  <c r="J74" i="12"/>
  <c r="CV72" i="1"/>
  <c r="CW72" i="1" s="1"/>
  <c r="CX72" i="1"/>
  <c r="CY72" i="1" s="1"/>
  <c r="CL73" i="1"/>
  <c r="E69" i="14" s="1"/>
  <c r="CM73" i="1"/>
  <c r="F69" i="14" s="1"/>
  <c r="CM70" i="1"/>
  <c r="F67" i="14" s="1"/>
  <c r="CL70" i="1"/>
  <c r="E67" i="14" s="1"/>
  <c r="CL5" i="1"/>
  <c r="E5" i="14" s="1"/>
  <c r="CM5" i="1"/>
  <c r="F5" i="14" s="1"/>
  <c r="CM31" i="1"/>
  <c r="F30" i="14" s="1"/>
  <c r="CL31" i="1"/>
  <c r="E30" i="14" s="1"/>
  <c r="CL83" i="1"/>
  <c r="E79" i="14" s="1"/>
  <c r="CM83" i="1"/>
  <c r="F79" i="14" s="1"/>
  <c r="AR14" i="1"/>
  <c r="EG14" i="1" s="1"/>
  <c r="BT29" i="1"/>
  <c r="BT94" i="1"/>
  <c r="M5" i="7"/>
  <c r="BU84" i="1"/>
  <c r="E63" i="7"/>
  <c r="BT10" i="1"/>
  <c r="M8" i="7"/>
  <c r="BT63" i="1"/>
  <c r="M17" i="7"/>
  <c r="AC84" i="1"/>
  <c r="D63" i="7"/>
  <c r="AC71" i="1"/>
  <c r="D54" i="7"/>
  <c r="BT61" i="1"/>
  <c r="M16" i="7"/>
  <c r="BT62" i="1"/>
  <c r="M20" i="7"/>
  <c r="BU71" i="1"/>
  <c r="E54" i="7"/>
  <c r="AC81" i="1"/>
  <c r="D60" i="7"/>
  <c r="BT80" i="1"/>
  <c r="F61" i="7"/>
  <c r="BU81" i="1"/>
  <c r="E60" i="7"/>
  <c r="BT69" i="1"/>
  <c r="F53" i="7"/>
  <c r="BT43" i="1"/>
  <c r="F34" i="7"/>
  <c r="BT49" i="1"/>
  <c r="F40" i="7"/>
  <c r="BT50" i="1"/>
  <c r="F41" i="7"/>
  <c r="BT30" i="1"/>
  <c r="F21" i="7"/>
  <c r="BT66" i="1"/>
  <c r="F50" i="7"/>
  <c r="BT48" i="1"/>
  <c r="F39" i="7"/>
  <c r="BU30" i="1"/>
  <c r="E21" i="7"/>
  <c r="BT74" i="1"/>
  <c r="F56" i="7"/>
  <c r="BT11" i="1"/>
  <c r="F6" i="7"/>
  <c r="BT51" i="1"/>
  <c r="F42" i="7"/>
  <c r="BT88" i="1"/>
  <c r="F67" i="7"/>
  <c r="BT22" i="1"/>
  <c r="F15" i="7"/>
  <c r="BT86" i="1"/>
  <c r="M19" i="7"/>
  <c r="BT20" i="1"/>
  <c r="F13" i="7"/>
  <c r="BT57" i="1"/>
  <c r="F46" i="7"/>
  <c r="BT13" i="1"/>
  <c r="F8" i="7"/>
  <c r="BT76" i="1"/>
  <c r="F57" i="7"/>
  <c r="BT47" i="1"/>
  <c r="F38" i="7"/>
  <c r="BT28" i="1"/>
  <c r="F20" i="7"/>
  <c r="BU16" i="1"/>
  <c r="L14" i="7"/>
  <c r="BT26" i="1"/>
  <c r="F18" i="7"/>
  <c r="BT21" i="1"/>
  <c r="F14" i="7"/>
  <c r="BT27" i="1"/>
  <c r="F19" i="7"/>
  <c r="BT33" i="1"/>
  <c r="F25" i="7"/>
  <c r="BT65" i="1"/>
  <c r="F49" i="7"/>
  <c r="BT79" i="1"/>
  <c r="F59" i="7"/>
  <c r="BT14" i="1"/>
  <c r="M15" i="7"/>
  <c r="BT53" i="1"/>
  <c r="F43" i="7"/>
  <c r="BT34" i="1"/>
  <c r="F26" i="7"/>
  <c r="BT12" i="1"/>
  <c r="F7" i="7"/>
  <c r="BT77" i="1"/>
  <c r="M11" i="7"/>
  <c r="BT67" i="1"/>
  <c r="F51" i="7"/>
  <c r="BT8" i="1"/>
  <c r="F5" i="7"/>
  <c r="BT25" i="1"/>
  <c r="F17" i="7"/>
  <c r="BT58" i="1"/>
  <c r="F47" i="7"/>
  <c r="BT38" i="1"/>
  <c r="F29" i="7"/>
  <c r="BT37" i="1"/>
  <c r="F28" i="7"/>
  <c r="BT42" i="1"/>
  <c r="F33" i="7"/>
  <c r="BT18" i="1"/>
  <c r="F11" i="7"/>
  <c r="BT46" i="1"/>
  <c r="F37" i="7"/>
  <c r="BT52" i="1"/>
  <c r="M18" i="7"/>
  <c r="BT64" i="1"/>
  <c r="M23" i="7"/>
  <c r="BT96" i="1"/>
  <c r="M6" i="7"/>
  <c r="AC16" i="1"/>
  <c r="K14" i="7"/>
  <c r="BT54" i="1"/>
  <c r="F44" i="7"/>
  <c r="BT44" i="1"/>
  <c r="F35" i="7"/>
  <c r="BT87" i="1"/>
  <c r="F66" i="7"/>
  <c r="BT41" i="1"/>
  <c r="F32" i="7"/>
  <c r="BT15" i="1"/>
  <c r="F9" i="7"/>
  <c r="BT78" i="1"/>
  <c r="F58" i="7"/>
  <c r="BT75" i="1"/>
  <c r="M22" i="7"/>
  <c r="BT93" i="1"/>
  <c r="M7" i="7"/>
  <c r="BT90" i="1"/>
  <c r="F69" i="7"/>
  <c r="BT92" i="1"/>
  <c r="F71" i="7"/>
  <c r="BT56" i="1"/>
  <c r="F45" i="7"/>
  <c r="BT82" i="1"/>
  <c r="F62" i="7"/>
  <c r="BT55" i="1"/>
  <c r="M21" i="7"/>
  <c r="BT45" i="1"/>
  <c r="F36" i="7"/>
  <c r="BT35" i="1"/>
  <c r="F27" i="7"/>
  <c r="BT9" i="1"/>
  <c r="M12" i="7"/>
  <c r="BT89" i="1"/>
  <c r="F68" i="7"/>
  <c r="BT17" i="1"/>
  <c r="F10" i="7"/>
  <c r="BT68" i="1"/>
  <c r="F52" i="7"/>
  <c r="BT40" i="1"/>
  <c r="F31" i="7"/>
  <c r="BT85" i="1"/>
  <c r="F65" i="7"/>
  <c r="BT39" i="1"/>
  <c r="F30" i="7"/>
  <c r="BT19" i="1"/>
  <c r="F12" i="7"/>
  <c r="BT91" i="1"/>
  <c r="F70" i="7"/>
  <c r="BT24" i="1"/>
  <c r="F16" i="7"/>
  <c r="BT60" i="1"/>
  <c r="F48" i="7"/>
  <c r="BT32" i="1"/>
  <c r="F24" i="7"/>
  <c r="AK16" i="1"/>
  <c r="EI16" i="1" s="1"/>
  <c r="F4" i="5"/>
  <c r="AJ65" i="1"/>
  <c r="EH65" i="1" s="1"/>
  <c r="AL65" i="1"/>
  <c r="EJ65" i="1" s="1"/>
  <c r="AJ92" i="1"/>
  <c r="EH92" i="1" s="1"/>
  <c r="AL92" i="1"/>
  <c r="EJ92" i="1" s="1"/>
  <c r="AK79" i="1"/>
  <c r="EI79" i="1" s="1"/>
  <c r="AL79" i="1"/>
  <c r="EJ79" i="1" s="1"/>
  <c r="AJ40" i="1"/>
  <c r="EH40" i="1" s="1"/>
  <c r="AL40" i="1"/>
  <c r="EJ40" i="1" s="1"/>
  <c r="AK85" i="1"/>
  <c r="AL85" i="1"/>
  <c r="EJ85" i="1" s="1"/>
  <c r="AJ42" i="1"/>
  <c r="EH42" i="1" s="1"/>
  <c r="AL42" i="1"/>
  <c r="EJ42" i="1" s="1"/>
  <c r="AJ15" i="1"/>
  <c r="EH15" i="1" s="1"/>
  <c r="AL15" i="1"/>
  <c r="EJ15" i="1" s="1"/>
  <c r="AJ44" i="1"/>
  <c r="EH44" i="1" s="1"/>
  <c r="AL44" i="1"/>
  <c r="EJ44" i="1" s="1"/>
  <c r="AJ26" i="1"/>
  <c r="EH26" i="1" s="1"/>
  <c r="AL26" i="1"/>
  <c r="EJ26" i="1" s="1"/>
  <c r="AJ43" i="1"/>
  <c r="EH43" i="1" s="1"/>
  <c r="AL43" i="1"/>
  <c r="EJ43" i="1" s="1"/>
  <c r="AJ13" i="1"/>
  <c r="EH13" i="1" s="1"/>
  <c r="AL13" i="1"/>
  <c r="EJ13" i="1" s="1"/>
  <c r="AJ27" i="1"/>
  <c r="EH27" i="1" s="1"/>
  <c r="AL27" i="1"/>
  <c r="EJ27" i="1" s="1"/>
  <c r="AJ53" i="1"/>
  <c r="EH53" i="1" s="1"/>
  <c r="AL53" i="1"/>
  <c r="EJ53" i="1" s="1"/>
  <c r="AJ41" i="1"/>
  <c r="EH41" i="1" s="1"/>
  <c r="AL41" i="1"/>
  <c r="EJ41" i="1" s="1"/>
  <c r="AJ47" i="1"/>
  <c r="EH47" i="1" s="1"/>
  <c r="AL47" i="1"/>
  <c r="EJ47" i="1" s="1"/>
  <c r="AJ52" i="1"/>
  <c r="EH52" i="1" s="1"/>
  <c r="AL52" i="1"/>
  <c r="EJ52" i="1" s="1"/>
  <c r="AJ79" i="1"/>
  <c r="EH79" i="1" s="1"/>
  <c r="AJ51" i="1"/>
  <c r="EH51" i="1" s="1"/>
  <c r="AJ88" i="1"/>
  <c r="EH88" i="1" s="1"/>
  <c r="AK88" i="1"/>
  <c r="AK73" i="1"/>
  <c r="AJ20" i="1"/>
  <c r="EH20" i="1" s="1"/>
  <c r="AJ91" i="1"/>
  <c r="EH91" i="1" s="1"/>
  <c r="AK91" i="1"/>
  <c r="AK87" i="1"/>
  <c r="AJ85" i="1"/>
  <c r="EH85" i="1" s="1"/>
  <c r="AJ90" i="1"/>
  <c r="EH90" i="1" s="1"/>
  <c r="AJ73" i="1"/>
  <c r="EH73" i="1" s="1"/>
  <c r="AJ66" i="1"/>
  <c r="EH66" i="1" s="1"/>
  <c r="AK66" i="1"/>
  <c r="EI66" i="1" s="1"/>
  <c r="AK33" i="1"/>
  <c r="EI33" i="1" s="1"/>
  <c r="AJ12" i="1"/>
  <c r="EH12" i="1" s="1"/>
  <c r="AK69" i="1"/>
  <c r="EI69" i="1" s="1"/>
  <c r="AK12" i="1"/>
  <c r="EI12" i="1" s="1"/>
  <c r="AK62" i="1"/>
  <c r="EI62" i="1" s="1"/>
  <c r="AJ18" i="1"/>
  <c r="EH18" i="1" s="1"/>
  <c r="AK90" i="1"/>
  <c r="EI90" i="1" s="1"/>
  <c r="AJ89" i="1"/>
  <c r="EH89" i="1" s="1"/>
  <c r="AJ62" i="1"/>
  <c r="EH62" i="1" s="1"/>
  <c r="AK18" i="1"/>
  <c r="AK50" i="1"/>
  <c r="AK89" i="1"/>
  <c r="AJ74" i="1"/>
  <c r="EH74" i="1" s="1"/>
  <c r="AK51" i="1"/>
  <c r="EI51" i="1" s="1"/>
  <c r="AJ68" i="1"/>
  <c r="EH68" i="1" s="1"/>
  <c r="AJ57" i="1"/>
  <c r="EH57" i="1" s="1"/>
  <c r="AK68" i="1"/>
  <c r="EI68" i="1" s="1"/>
  <c r="AJ45" i="1"/>
  <c r="EH45" i="1" s="1"/>
  <c r="AJ72" i="1"/>
  <c r="EH72" i="1" s="1"/>
  <c r="AK57" i="1"/>
  <c r="EI57" i="1" s="1"/>
  <c r="AK45" i="1"/>
  <c r="EI45" i="1" s="1"/>
  <c r="AK72" i="1"/>
  <c r="EI72" i="1" s="1"/>
  <c r="AJ46" i="1"/>
  <c r="EH46" i="1" s="1"/>
  <c r="AJ22" i="1"/>
  <c r="EH22" i="1" s="1"/>
  <c r="AJ25" i="1"/>
  <c r="EH25" i="1" s="1"/>
  <c r="AJ55" i="1"/>
  <c r="EH55" i="1" s="1"/>
  <c r="AJ21" i="1"/>
  <c r="EH21" i="1" s="1"/>
  <c r="AJ58" i="1"/>
  <c r="EH58" i="1" s="1"/>
  <c r="AK58" i="1"/>
  <c r="AK22" i="1"/>
  <c r="AJ50" i="1"/>
  <c r="EH50" i="1" s="1"/>
  <c r="AK55" i="1"/>
  <c r="AK21" i="1"/>
  <c r="AJ39" i="1"/>
  <c r="EH39" i="1" s="1"/>
  <c r="AJ76" i="1"/>
  <c r="EH76" i="1" s="1"/>
  <c r="AK5" i="1"/>
  <c r="EI5" i="1" s="1"/>
  <c r="AK19" i="1"/>
  <c r="AJ48" i="1"/>
  <c r="EH48" i="1" s="1"/>
  <c r="AK60" i="1"/>
  <c r="AK76" i="1"/>
  <c r="AK39" i="1"/>
  <c r="EI39" i="1" s="1"/>
  <c r="AK11" i="1"/>
  <c r="EI11" i="1" s="1"/>
  <c r="AK34" i="1"/>
  <c r="EI34" i="1" s="1"/>
  <c r="AJ11" i="1"/>
  <c r="EH11" i="1" s="1"/>
  <c r="AK25" i="1"/>
  <c r="EI25" i="1" s="1"/>
  <c r="Q26" i="4"/>
  <c r="F10" i="5"/>
  <c r="F70" i="5"/>
  <c r="F66" i="5"/>
  <c r="F63" i="5"/>
  <c r="AK35" i="1"/>
  <c r="EI35" i="1" s="1"/>
  <c r="AJ32" i="1"/>
  <c r="EH32" i="1" s="1"/>
  <c r="AJ35" i="1"/>
  <c r="EH35" i="1" s="1"/>
  <c r="F68" i="5"/>
  <c r="AJ77" i="1"/>
  <c r="EH77" i="1" s="1"/>
  <c r="AJ38" i="1"/>
  <c r="EH38" i="1" s="1"/>
  <c r="AK77" i="1"/>
  <c r="AJ34" i="1"/>
  <c r="EH34" i="1" s="1"/>
  <c r="AJ49" i="1"/>
  <c r="EH49" i="1" s="1"/>
  <c r="F54" i="5"/>
  <c r="F46" i="5"/>
  <c r="AK49" i="1"/>
  <c r="AJ5" i="1"/>
  <c r="EH5" i="1" s="1"/>
  <c r="AJ33" i="1"/>
  <c r="EH33" i="1" s="1"/>
  <c r="AJ70" i="1"/>
  <c r="EH70" i="1" s="1"/>
  <c r="AK48" i="1"/>
  <c r="AJ19" i="1"/>
  <c r="EH19" i="1" s="1"/>
  <c r="AK70" i="1"/>
  <c r="EI70" i="1" s="1"/>
  <c r="AJ31" i="1"/>
  <c r="EH31" i="1" s="1"/>
  <c r="AK32" i="1"/>
  <c r="EI32" i="1" s="1"/>
  <c r="AK31" i="1"/>
  <c r="EI31" i="1" s="1"/>
  <c r="AJ61" i="1"/>
  <c r="EH61" i="1" s="1"/>
  <c r="AJ17" i="1"/>
  <c r="EH17" i="1" s="1"/>
  <c r="AJ37" i="1"/>
  <c r="EH37" i="1" s="1"/>
  <c r="AK37" i="1"/>
  <c r="EI37" i="1" s="1"/>
  <c r="AK38" i="1"/>
  <c r="EI38" i="1" s="1"/>
  <c r="AK61" i="1"/>
  <c r="AJ8" i="1"/>
  <c r="EH8" i="1" s="1"/>
  <c r="AK17" i="1"/>
  <c r="AK8" i="1"/>
  <c r="EI8" i="1" s="1"/>
  <c r="AJ60" i="1"/>
  <c r="EH60" i="1" s="1"/>
  <c r="AK20" i="1"/>
  <c r="EI20" i="1" s="1"/>
  <c r="AJ56" i="1"/>
  <c r="EH56" i="1" s="1"/>
  <c r="AJ87" i="1"/>
  <c r="EH87" i="1" s="1"/>
  <c r="AK46" i="1"/>
  <c r="AK15" i="1"/>
  <c r="EI15" i="1" s="1"/>
  <c r="AK44" i="1"/>
  <c r="EI44" i="1" s="1"/>
  <c r="AK26" i="1"/>
  <c r="EI26" i="1" s="1"/>
  <c r="AK13" i="1"/>
  <c r="EI13" i="1" s="1"/>
  <c r="AK43" i="1"/>
  <c r="AK65" i="1"/>
  <c r="EI65" i="1" s="1"/>
  <c r="AJ69" i="1"/>
  <c r="EH69" i="1" s="1"/>
  <c r="AK27" i="1"/>
  <c r="EI27" i="1" s="1"/>
  <c r="AK92" i="1"/>
  <c r="AK53" i="1"/>
  <c r="EI53" i="1" s="1"/>
  <c r="AK74" i="1"/>
  <c r="AK41" i="1"/>
  <c r="EI41" i="1" s="1"/>
  <c r="AK47" i="1"/>
  <c r="AK52" i="1"/>
  <c r="AK40" i="1"/>
  <c r="EI40" i="1" s="1"/>
  <c r="AK56" i="1"/>
  <c r="EI56" i="1" s="1"/>
  <c r="AK42" i="1"/>
  <c r="H30" i="4"/>
  <c r="I29" i="4"/>
  <c r="N28" i="4"/>
  <c r="O28" i="4"/>
  <c r="P28" i="4" s="1"/>
  <c r="AC27" i="4"/>
  <c r="AG27" i="4"/>
  <c r="AM27" i="4"/>
  <c r="AN27" i="4"/>
  <c r="U27" i="4"/>
  <c r="W27" i="4"/>
  <c r="T27" i="4"/>
  <c r="AI27" i="4"/>
  <c r="AK27" i="4"/>
  <c r="AH27" i="4"/>
  <c r="AB27" i="4"/>
  <c r="AD27" i="4"/>
  <c r="Y27" i="4"/>
  <c r="AL27" i="4"/>
  <c r="AE27" i="4"/>
  <c r="V27" i="4"/>
  <c r="S27" i="4"/>
  <c r="AO27" i="4"/>
  <c r="AJ27" i="4"/>
  <c r="AF27" i="4"/>
  <c r="X27" i="4"/>
  <c r="Z27" i="4"/>
  <c r="AA27" i="4"/>
  <c r="F31" i="4"/>
  <c r="G30" i="4"/>
  <c r="AR77" i="1" l="1"/>
  <c r="EG77" i="1" s="1"/>
  <c r="EI77" i="1"/>
  <c r="AR61" i="1"/>
  <c r="EG61" i="1" s="1"/>
  <c r="EI61" i="1"/>
  <c r="AR22" i="1"/>
  <c r="EG22" i="1" s="1"/>
  <c r="EI22" i="1"/>
  <c r="AR91" i="1"/>
  <c r="EG91" i="1" s="1"/>
  <c r="EI91" i="1"/>
  <c r="AR17" i="1"/>
  <c r="EG17" i="1" s="1"/>
  <c r="EI17" i="1"/>
  <c r="AR58" i="1"/>
  <c r="EG58" i="1" s="1"/>
  <c r="EI58" i="1"/>
  <c r="AR48" i="1"/>
  <c r="EG48" i="1" s="1"/>
  <c r="EI48" i="1"/>
  <c r="AR52" i="1"/>
  <c r="EG52" i="1" s="1"/>
  <c r="EI52" i="1"/>
  <c r="AR76" i="1"/>
  <c r="EG76" i="1" s="1"/>
  <c r="EI76" i="1"/>
  <c r="AR60" i="1"/>
  <c r="EG60" i="1" s="1"/>
  <c r="EI60" i="1"/>
  <c r="AR73" i="1"/>
  <c r="EG73" i="1" s="1"/>
  <c r="EI73" i="1"/>
  <c r="AR55" i="1"/>
  <c r="EG55" i="1" s="1"/>
  <c r="EI55" i="1"/>
  <c r="AR43" i="1"/>
  <c r="EG43" i="1" s="1"/>
  <c r="EI43" i="1"/>
  <c r="AR87" i="1"/>
  <c r="EG87" i="1" s="1"/>
  <c r="EI87" i="1"/>
  <c r="AR47" i="1"/>
  <c r="EG47" i="1" s="1"/>
  <c r="EI47" i="1"/>
  <c r="AR49" i="1"/>
  <c r="EG49" i="1" s="1"/>
  <c r="EI49" i="1"/>
  <c r="AR46" i="1"/>
  <c r="EG46" i="1" s="1"/>
  <c r="EI46" i="1"/>
  <c r="F72" i="5"/>
  <c r="AR88" i="1"/>
  <c r="EG88" i="1" s="1"/>
  <c r="EI88" i="1"/>
  <c r="AR21" i="1"/>
  <c r="EG21" i="1" s="1"/>
  <c r="EI21" i="1"/>
  <c r="AR19" i="1"/>
  <c r="EI19" i="1"/>
  <c r="AR89" i="1"/>
  <c r="EG89" i="1" s="1"/>
  <c r="EI89" i="1"/>
  <c r="AR42" i="1"/>
  <c r="EG42" i="1" s="1"/>
  <c r="EI42" i="1"/>
  <c r="AR74" i="1"/>
  <c r="EG74" i="1" s="1"/>
  <c r="EI74" i="1"/>
  <c r="AR92" i="1"/>
  <c r="EG92" i="1" s="1"/>
  <c r="EI92" i="1"/>
  <c r="AR50" i="1"/>
  <c r="EG50" i="1" s="1"/>
  <c r="EI50" i="1"/>
  <c r="AR85" i="1"/>
  <c r="EG85" i="1" s="1"/>
  <c r="EI85" i="1"/>
  <c r="AR18" i="1"/>
  <c r="EI18" i="1"/>
  <c r="I19" i="12"/>
  <c r="EE20" i="1"/>
  <c r="I74" i="12"/>
  <c r="EE79" i="1"/>
  <c r="I69" i="12"/>
  <c r="EE74" i="1"/>
  <c r="I9" i="12"/>
  <c r="EE10" i="1"/>
  <c r="I86" i="12"/>
  <c r="EE91" i="1"/>
  <c r="I53" i="12"/>
  <c r="EE56" i="1"/>
  <c r="I72" i="12"/>
  <c r="EE77" i="1"/>
  <c r="I77" i="12"/>
  <c r="EE82" i="1"/>
  <c r="I18" i="12"/>
  <c r="EE19" i="1"/>
  <c r="I84" i="12"/>
  <c r="EE89" i="1"/>
  <c r="I14" i="12"/>
  <c r="EE15" i="1"/>
  <c r="I91" i="12"/>
  <c r="EE96" i="1"/>
  <c r="I34" i="12"/>
  <c r="EE37" i="1"/>
  <c r="I61" i="12"/>
  <c r="EE65" i="1"/>
  <c r="I26" i="12"/>
  <c r="EE28" i="1"/>
  <c r="I81" i="12"/>
  <c r="EE86" i="1"/>
  <c r="I40" i="12"/>
  <c r="EE43" i="1"/>
  <c r="I58" i="12"/>
  <c r="EE62" i="1"/>
  <c r="I8" i="12"/>
  <c r="EE9" i="1"/>
  <c r="I87" i="12"/>
  <c r="EE92" i="1"/>
  <c r="I60" i="12"/>
  <c r="EE64" i="1"/>
  <c r="I35" i="12"/>
  <c r="EE38" i="1"/>
  <c r="I11" i="12"/>
  <c r="EE12" i="1"/>
  <c r="I44" i="12"/>
  <c r="EE47" i="1"/>
  <c r="I21" i="12"/>
  <c r="EE22" i="1"/>
  <c r="I45" i="12"/>
  <c r="EE48" i="1"/>
  <c r="I65" i="12"/>
  <c r="EE69" i="1"/>
  <c r="I57" i="12"/>
  <c r="EE61" i="1"/>
  <c r="I89" i="12"/>
  <c r="EE94" i="1"/>
  <c r="I46" i="12"/>
  <c r="EE49" i="1"/>
  <c r="I36" i="12"/>
  <c r="EE39" i="1"/>
  <c r="I38" i="12"/>
  <c r="EE41" i="1"/>
  <c r="I31" i="12"/>
  <c r="EE33" i="1"/>
  <c r="I27" i="12"/>
  <c r="EE29" i="1"/>
  <c r="I39" i="12"/>
  <c r="EE42" i="1"/>
  <c r="I30" i="12"/>
  <c r="EE32" i="1"/>
  <c r="I80" i="12"/>
  <c r="EE85" i="1"/>
  <c r="I85" i="12"/>
  <c r="EE90" i="1"/>
  <c r="I82" i="12"/>
  <c r="EE87" i="1"/>
  <c r="I55" i="12"/>
  <c r="EE58" i="1"/>
  <c r="I32" i="12"/>
  <c r="EE34" i="1"/>
  <c r="I71" i="12"/>
  <c r="EE76" i="1"/>
  <c r="I62" i="12"/>
  <c r="EE66" i="1"/>
  <c r="I73" i="12"/>
  <c r="EE78" i="1"/>
  <c r="I33" i="12"/>
  <c r="EE35" i="1"/>
  <c r="I49" i="12"/>
  <c r="EE52" i="1"/>
  <c r="I25" i="12"/>
  <c r="EE27" i="1"/>
  <c r="I83" i="12"/>
  <c r="EE88" i="1"/>
  <c r="I37" i="12"/>
  <c r="EE40" i="1"/>
  <c r="I88" i="12"/>
  <c r="EE93" i="1"/>
  <c r="I43" i="12"/>
  <c r="EE46" i="1"/>
  <c r="I50" i="12"/>
  <c r="EE53" i="1"/>
  <c r="I12" i="12"/>
  <c r="EE13" i="1"/>
  <c r="I48" i="12"/>
  <c r="EE51" i="1"/>
  <c r="I75" i="12"/>
  <c r="EE80" i="1"/>
  <c r="I63" i="12"/>
  <c r="EE67" i="1"/>
  <c r="I56" i="12"/>
  <c r="EE60" i="1"/>
  <c r="I42" i="12"/>
  <c r="EE45" i="1"/>
  <c r="I41" i="12"/>
  <c r="EE44" i="1"/>
  <c r="I23" i="12"/>
  <c r="EE25" i="1"/>
  <c r="I20" i="12"/>
  <c r="EE21" i="1"/>
  <c r="I28" i="12"/>
  <c r="EE30" i="1"/>
  <c r="I16" i="12"/>
  <c r="EE17" i="1"/>
  <c r="I22" i="12"/>
  <c r="EE24" i="1"/>
  <c r="I64" i="12"/>
  <c r="EE68" i="1"/>
  <c r="I52" i="12"/>
  <c r="EE55" i="1"/>
  <c r="I70" i="12"/>
  <c r="EE75" i="1"/>
  <c r="I51" i="12"/>
  <c r="EE54" i="1"/>
  <c r="I17" i="12"/>
  <c r="EE18" i="1"/>
  <c r="I7" i="12"/>
  <c r="EE8" i="1"/>
  <c r="I13" i="12"/>
  <c r="EE14" i="1"/>
  <c r="I24" i="12"/>
  <c r="EE26" i="1"/>
  <c r="I54" i="12"/>
  <c r="EE57" i="1"/>
  <c r="I10" i="12"/>
  <c r="EE11" i="1"/>
  <c r="I47" i="12"/>
  <c r="EE50" i="1"/>
  <c r="I59" i="12"/>
  <c r="EE63" i="1"/>
  <c r="U81" i="13"/>
  <c r="H81" i="13"/>
  <c r="U83" i="13"/>
  <c r="H83" i="13"/>
  <c r="U82" i="13"/>
  <c r="H82" i="13"/>
  <c r="H89" i="13"/>
  <c r="U89" i="13"/>
  <c r="DA81" i="1"/>
  <c r="V77" i="14" s="1"/>
  <c r="S77" i="14" s="1"/>
  <c r="J76" i="12"/>
  <c r="DA16" i="1"/>
  <c r="V16" i="14" s="1"/>
  <c r="S16" i="14" s="1"/>
  <c r="J15" i="12"/>
  <c r="DA71" i="1"/>
  <c r="V68" i="14" s="1"/>
  <c r="S68" i="14" s="1"/>
  <c r="J67" i="12"/>
  <c r="DA30" i="1"/>
  <c r="V29" i="14" s="1"/>
  <c r="S29" i="14" s="1"/>
  <c r="J28" i="12"/>
  <c r="DA84" i="1"/>
  <c r="V80" i="14" s="1"/>
  <c r="S80" i="14" s="1"/>
  <c r="J79" i="12"/>
  <c r="DB72" i="1"/>
  <c r="CV83" i="1"/>
  <c r="CX83" i="1"/>
  <c r="CV31" i="1"/>
  <c r="CX31" i="1"/>
  <c r="CV5" i="1"/>
  <c r="CX5" i="1"/>
  <c r="CV73" i="1"/>
  <c r="CX73" i="1"/>
  <c r="CL24" i="1"/>
  <c r="E23" i="14" s="1"/>
  <c r="CM24" i="1"/>
  <c r="F23" i="14" s="1"/>
  <c r="CM68" i="1"/>
  <c r="F65" i="14" s="1"/>
  <c r="CL68" i="1"/>
  <c r="E65" i="14" s="1"/>
  <c r="CM55" i="1"/>
  <c r="F53" i="14" s="1"/>
  <c r="CL55" i="1"/>
  <c r="E53" i="14" s="1"/>
  <c r="CL75" i="1"/>
  <c r="E71" i="14" s="1"/>
  <c r="CM75" i="1"/>
  <c r="F71" i="14" s="1"/>
  <c r="CM54" i="1"/>
  <c r="F52" i="14" s="1"/>
  <c r="CL54" i="1"/>
  <c r="E52" i="14" s="1"/>
  <c r="CL18" i="1"/>
  <c r="E18" i="14" s="1"/>
  <c r="CM18" i="1"/>
  <c r="F18" i="14" s="1"/>
  <c r="CL8" i="1"/>
  <c r="E8" i="14" s="1"/>
  <c r="CM8" i="1"/>
  <c r="F8" i="14" s="1"/>
  <c r="CL14" i="1"/>
  <c r="E14" i="14" s="1"/>
  <c r="CM14" i="1"/>
  <c r="F14" i="14" s="1"/>
  <c r="CM26" i="1"/>
  <c r="F25" i="14" s="1"/>
  <c r="CL26" i="1"/>
  <c r="E25" i="14" s="1"/>
  <c r="CL57" i="1"/>
  <c r="E55" i="14" s="1"/>
  <c r="CM57" i="1"/>
  <c r="F55" i="14" s="1"/>
  <c r="CM11" i="1"/>
  <c r="F11" i="14" s="1"/>
  <c r="CL11" i="1"/>
  <c r="E11" i="14" s="1"/>
  <c r="CM50" i="1"/>
  <c r="F48" i="14" s="1"/>
  <c r="CL50" i="1"/>
  <c r="E48" i="14" s="1"/>
  <c r="CM63" i="1"/>
  <c r="F60" i="14" s="1"/>
  <c r="CL63" i="1"/>
  <c r="E60" i="14" s="1"/>
  <c r="CL91" i="1"/>
  <c r="E87" i="14" s="1"/>
  <c r="CM91" i="1"/>
  <c r="F87" i="14" s="1"/>
  <c r="CM17" i="1"/>
  <c r="F17" i="14" s="1"/>
  <c r="CL17" i="1"/>
  <c r="E17" i="14" s="1"/>
  <c r="CM82" i="1"/>
  <c r="F78" i="14" s="1"/>
  <c r="CL82" i="1"/>
  <c r="E78" i="14" s="1"/>
  <c r="CL78" i="1"/>
  <c r="E74" i="14" s="1"/>
  <c r="CM78" i="1"/>
  <c r="F74" i="14" s="1"/>
  <c r="CM42" i="1"/>
  <c r="F40" i="14" s="1"/>
  <c r="CL42" i="1"/>
  <c r="E40" i="14" s="1"/>
  <c r="CM67" i="1"/>
  <c r="F64" i="14" s="1"/>
  <c r="CL67" i="1"/>
  <c r="E64" i="14" s="1"/>
  <c r="CL79" i="1"/>
  <c r="E75" i="14" s="1"/>
  <c r="CM79" i="1"/>
  <c r="F75" i="14" s="1"/>
  <c r="CM20" i="1"/>
  <c r="F20" i="14" s="1"/>
  <c r="CL20" i="1"/>
  <c r="E20" i="14" s="1"/>
  <c r="CM74" i="1"/>
  <c r="F70" i="14" s="1"/>
  <c r="CL74" i="1"/>
  <c r="E70" i="14" s="1"/>
  <c r="CM49" i="1"/>
  <c r="F47" i="14" s="1"/>
  <c r="CL49" i="1"/>
  <c r="E47" i="14" s="1"/>
  <c r="CL10" i="1"/>
  <c r="E10" i="14" s="1"/>
  <c r="CM10" i="1"/>
  <c r="F10" i="14" s="1"/>
  <c r="CL19" i="1"/>
  <c r="E19" i="14" s="1"/>
  <c r="CM19" i="1"/>
  <c r="F19" i="14" s="1"/>
  <c r="CL89" i="1"/>
  <c r="E85" i="14" s="1"/>
  <c r="CM89" i="1"/>
  <c r="F85" i="14" s="1"/>
  <c r="CM56" i="1"/>
  <c r="F54" i="14" s="1"/>
  <c r="CL56" i="1"/>
  <c r="E54" i="14" s="1"/>
  <c r="CM15" i="1"/>
  <c r="F15" i="14" s="1"/>
  <c r="CL15" i="1"/>
  <c r="E15" i="14" s="1"/>
  <c r="CM96" i="1"/>
  <c r="F92" i="14" s="1"/>
  <c r="CL96" i="1"/>
  <c r="E92" i="14" s="1"/>
  <c r="CM37" i="1"/>
  <c r="F35" i="14" s="1"/>
  <c r="CL37" i="1"/>
  <c r="E35" i="14" s="1"/>
  <c r="CL77" i="1"/>
  <c r="E73" i="14" s="1"/>
  <c r="CM77" i="1"/>
  <c r="F73" i="14" s="1"/>
  <c r="CL65" i="1"/>
  <c r="E62" i="14" s="1"/>
  <c r="CM65" i="1"/>
  <c r="F62" i="14" s="1"/>
  <c r="CM28" i="1"/>
  <c r="F27" i="14" s="1"/>
  <c r="CL28" i="1"/>
  <c r="E27" i="14" s="1"/>
  <c r="CM86" i="1"/>
  <c r="F82" i="14" s="1"/>
  <c r="CL86" i="1"/>
  <c r="E82" i="14" s="1"/>
  <c r="CM43" i="1"/>
  <c r="F41" i="14" s="1"/>
  <c r="CL43" i="1"/>
  <c r="E41" i="14" s="1"/>
  <c r="CM62" i="1"/>
  <c r="F59" i="14" s="1"/>
  <c r="CL62" i="1"/>
  <c r="E59" i="14" s="1"/>
  <c r="CM39" i="1"/>
  <c r="F37" i="14" s="1"/>
  <c r="CL39" i="1"/>
  <c r="E37" i="14" s="1"/>
  <c r="CL9" i="1"/>
  <c r="E9" i="14" s="1"/>
  <c r="CM9" i="1"/>
  <c r="F9" i="14" s="1"/>
  <c r="CM92" i="1"/>
  <c r="F88" i="14" s="1"/>
  <c r="CL92" i="1"/>
  <c r="E88" i="14" s="1"/>
  <c r="CM41" i="1"/>
  <c r="F39" i="14" s="1"/>
  <c r="CL41" i="1"/>
  <c r="E39" i="14" s="1"/>
  <c r="CM64" i="1"/>
  <c r="F61" i="14" s="1"/>
  <c r="CL64" i="1"/>
  <c r="E61" i="14" s="1"/>
  <c r="CM38" i="1"/>
  <c r="F36" i="14" s="1"/>
  <c r="CL38" i="1"/>
  <c r="E36" i="14" s="1"/>
  <c r="CM12" i="1"/>
  <c r="F12" i="14" s="1"/>
  <c r="CL12" i="1"/>
  <c r="E12" i="14" s="1"/>
  <c r="CM33" i="1"/>
  <c r="F32" i="14" s="1"/>
  <c r="CL33" i="1"/>
  <c r="E32" i="14" s="1"/>
  <c r="CM47" i="1"/>
  <c r="F45" i="14" s="1"/>
  <c r="CL47" i="1"/>
  <c r="E45" i="14" s="1"/>
  <c r="CM22" i="1"/>
  <c r="F22" i="14" s="1"/>
  <c r="CL22" i="1"/>
  <c r="E22" i="14" s="1"/>
  <c r="CM48" i="1"/>
  <c r="F46" i="14" s="1"/>
  <c r="CL48" i="1"/>
  <c r="E46" i="14" s="1"/>
  <c r="CM69" i="1"/>
  <c r="F66" i="14" s="1"/>
  <c r="CL69" i="1"/>
  <c r="E66" i="14" s="1"/>
  <c r="CM61" i="1"/>
  <c r="F58" i="14" s="1"/>
  <c r="CL61" i="1"/>
  <c r="E58" i="14" s="1"/>
  <c r="CM94" i="1"/>
  <c r="F90" i="14" s="1"/>
  <c r="CL94" i="1"/>
  <c r="E90" i="14" s="1"/>
  <c r="CM29" i="1"/>
  <c r="F28" i="14" s="1"/>
  <c r="CL29" i="1"/>
  <c r="E28" i="14" s="1"/>
  <c r="CL32" i="1"/>
  <c r="E31" i="14" s="1"/>
  <c r="CM32" i="1"/>
  <c r="F31" i="14" s="1"/>
  <c r="CL85" i="1"/>
  <c r="E81" i="14" s="1"/>
  <c r="CM85" i="1"/>
  <c r="F81" i="14" s="1"/>
  <c r="CM35" i="1"/>
  <c r="F34" i="14" s="1"/>
  <c r="CL35" i="1"/>
  <c r="E34" i="14" s="1"/>
  <c r="CM90" i="1"/>
  <c r="F86" i="14" s="1"/>
  <c r="CL90" i="1"/>
  <c r="E86" i="14" s="1"/>
  <c r="CL87" i="1"/>
  <c r="E83" i="14" s="1"/>
  <c r="CM87" i="1"/>
  <c r="F83" i="14" s="1"/>
  <c r="CL52" i="1"/>
  <c r="E50" i="14" s="1"/>
  <c r="CM52" i="1"/>
  <c r="F50" i="14" s="1"/>
  <c r="CM58" i="1"/>
  <c r="F56" i="14" s="1"/>
  <c r="CL58" i="1"/>
  <c r="E56" i="14" s="1"/>
  <c r="CM34" i="1"/>
  <c r="F33" i="14" s="1"/>
  <c r="CL34" i="1"/>
  <c r="E33" i="14" s="1"/>
  <c r="CL27" i="1"/>
  <c r="E26" i="14" s="1"/>
  <c r="CM27" i="1"/>
  <c r="F26" i="14" s="1"/>
  <c r="CM76" i="1"/>
  <c r="F72" i="14" s="1"/>
  <c r="CL76" i="1"/>
  <c r="E72" i="14" s="1"/>
  <c r="CM88" i="1"/>
  <c r="F84" i="14" s="1"/>
  <c r="CL88" i="1"/>
  <c r="E84" i="14" s="1"/>
  <c r="CM66" i="1"/>
  <c r="F63" i="14" s="1"/>
  <c r="CL66" i="1"/>
  <c r="E63" i="14" s="1"/>
  <c r="CM60" i="1"/>
  <c r="F57" i="14" s="1"/>
  <c r="CL60" i="1"/>
  <c r="E57" i="14" s="1"/>
  <c r="CL40" i="1"/>
  <c r="E38" i="14" s="1"/>
  <c r="CM40" i="1"/>
  <c r="F38" i="14" s="1"/>
  <c r="CM45" i="1"/>
  <c r="F43" i="14" s="1"/>
  <c r="CL45" i="1"/>
  <c r="E43" i="14" s="1"/>
  <c r="CL93" i="1"/>
  <c r="E89" i="14" s="1"/>
  <c r="CM93" i="1"/>
  <c r="F89" i="14" s="1"/>
  <c r="CM44" i="1"/>
  <c r="F42" i="14" s="1"/>
  <c r="CL44" i="1"/>
  <c r="E42" i="14" s="1"/>
  <c r="CM46" i="1"/>
  <c r="F44" i="14" s="1"/>
  <c r="CL46" i="1"/>
  <c r="E44" i="14" s="1"/>
  <c r="CM25" i="1"/>
  <c r="F24" i="14" s="1"/>
  <c r="CL25" i="1"/>
  <c r="E24" i="14" s="1"/>
  <c r="CM53" i="1"/>
  <c r="F51" i="14" s="1"/>
  <c r="CL53" i="1"/>
  <c r="E51" i="14" s="1"/>
  <c r="CM21" i="1"/>
  <c r="F21" i="14" s="1"/>
  <c r="CL21" i="1"/>
  <c r="E21" i="14" s="1"/>
  <c r="CM13" i="1"/>
  <c r="F13" i="14" s="1"/>
  <c r="CL13" i="1"/>
  <c r="E13" i="14" s="1"/>
  <c r="CM51" i="1"/>
  <c r="F49" i="14" s="1"/>
  <c r="CL51" i="1"/>
  <c r="E49" i="14" s="1"/>
  <c r="CM30" i="1"/>
  <c r="F29" i="14" s="1"/>
  <c r="CL30" i="1"/>
  <c r="E29" i="14" s="1"/>
  <c r="CM80" i="1"/>
  <c r="F76" i="14" s="1"/>
  <c r="CL80" i="1"/>
  <c r="E76" i="14" s="1"/>
  <c r="BT71" i="1"/>
  <c r="F54" i="7"/>
  <c r="BT84" i="1"/>
  <c r="F63" i="7"/>
  <c r="BT81" i="1"/>
  <c r="F60" i="7"/>
  <c r="AR35" i="1"/>
  <c r="AR26" i="1"/>
  <c r="BT16" i="1"/>
  <c r="M14" i="7"/>
  <c r="F71" i="5"/>
  <c r="F77" i="5"/>
  <c r="F73" i="5"/>
  <c r="F61" i="5"/>
  <c r="F42" i="5"/>
  <c r="F64" i="5"/>
  <c r="F75" i="5"/>
  <c r="F17" i="5"/>
  <c r="F3" i="5"/>
  <c r="F51" i="5"/>
  <c r="F16" i="5"/>
  <c r="Q27" i="4"/>
  <c r="F38" i="5"/>
  <c r="F65" i="5"/>
  <c r="F41" i="5"/>
  <c r="F62" i="5"/>
  <c r="F40" i="5"/>
  <c r="F35" i="5"/>
  <c r="F34" i="5"/>
  <c r="F44" i="5"/>
  <c r="F39" i="5"/>
  <c r="F11" i="5"/>
  <c r="F12" i="5"/>
  <c r="F52" i="5"/>
  <c r="Z28" i="4"/>
  <c r="Y28" i="4"/>
  <c r="AJ28" i="4"/>
  <c r="AD28" i="4"/>
  <c r="AL28" i="4"/>
  <c r="AC28" i="4"/>
  <c r="S28" i="4"/>
  <c r="AF28" i="4"/>
  <c r="AN28" i="4"/>
  <c r="AE28" i="4"/>
  <c r="AA28" i="4"/>
  <c r="AG28" i="4"/>
  <c r="AB28" i="4"/>
  <c r="AI28" i="4"/>
  <c r="T28" i="4"/>
  <c r="AK28" i="4"/>
  <c r="U28" i="4"/>
  <c r="W28" i="4"/>
  <c r="V28" i="4"/>
  <c r="X28" i="4"/>
  <c r="AH28" i="4"/>
  <c r="AO28" i="4"/>
  <c r="AM28" i="4"/>
  <c r="O29" i="4"/>
  <c r="P29" i="4" s="1"/>
  <c r="N29" i="4"/>
  <c r="H31" i="4"/>
  <c r="I30" i="4"/>
  <c r="F32" i="4"/>
  <c r="G31" i="4"/>
  <c r="F47" i="5" l="1"/>
  <c r="F50" i="5"/>
  <c r="F28" i="5"/>
  <c r="EG35" i="1"/>
  <c r="F13" i="5"/>
  <c r="EG18" i="1"/>
  <c r="F78" i="5"/>
  <c r="F14" i="5"/>
  <c r="EG19" i="1"/>
  <c r="F20" i="5"/>
  <c r="EG26" i="1"/>
  <c r="F74" i="5"/>
  <c r="I79" i="12"/>
  <c r="EE84" i="1"/>
  <c r="I67" i="12"/>
  <c r="EE71" i="1"/>
  <c r="I15" i="12"/>
  <c r="EE16" i="1"/>
  <c r="I76" i="12"/>
  <c r="EE81" i="1"/>
  <c r="CY73" i="1"/>
  <c r="CY5" i="1"/>
  <c r="CW73" i="1"/>
  <c r="G69" i="14" s="1"/>
  <c r="CW5" i="1"/>
  <c r="G5" i="14" s="1"/>
  <c r="CY31" i="1"/>
  <c r="CY70" i="1"/>
  <c r="CW31" i="1"/>
  <c r="G30" i="14" s="1"/>
  <c r="CW70" i="1"/>
  <c r="G67" i="14" s="1"/>
  <c r="CY83" i="1"/>
  <c r="CW83" i="1"/>
  <c r="G79" i="14" s="1"/>
  <c r="CV69" i="1"/>
  <c r="CX69" i="1"/>
  <c r="CV40" i="1"/>
  <c r="CX40" i="1"/>
  <c r="CV85" i="1"/>
  <c r="CX85" i="1"/>
  <c r="CV78" i="1"/>
  <c r="CX78" i="1"/>
  <c r="CV62" i="1"/>
  <c r="CX62" i="1"/>
  <c r="CV53" i="1"/>
  <c r="CX53" i="1"/>
  <c r="CV34" i="1"/>
  <c r="CX34" i="1"/>
  <c r="CV48" i="1"/>
  <c r="CX48" i="1"/>
  <c r="CV64" i="1"/>
  <c r="CX64" i="1"/>
  <c r="CV43" i="1"/>
  <c r="CX43" i="1"/>
  <c r="CV96" i="1"/>
  <c r="CX96" i="1"/>
  <c r="CV49" i="1"/>
  <c r="CX49" i="1"/>
  <c r="CV11" i="1"/>
  <c r="CX11" i="1"/>
  <c r="CV54" i="1"/>
  <c r="CX54" i="1"/>
  <c r="CV32" i="1"/>
  <c r="CX32" i="1"/>
  <c r="CV57" i="1"/>
  <c r="CX57" i="1"/>
  <c r="CV75" i="1"/>
  <c r="CX75" i="1"/>
  <c r="CV21" i="1"/>
  <c r="CX21" i="1"/>
  <c r="CV38" i="1"/>
  <c r="CX38" i="1"/>
  <c r="CV80" i="1"/>
  <c r="CX80" i="1"/>
  <c r="CV25" i="1"/>
  <c r="CX25" i="1"/>
  <c r="CV60" i="1"/>
  <c r="CX60" i="1"/>
  <c r="CV58" i="1"/>
  <c r="CX58" i="1"/>
  <c r="CV22" i="1"/>
  <c r="CX22" i="1"/>
  <c r="CV41" i="1"/>
  <c r="CX41" i="1"/>
  <c r="CV86" i="1"/>
  <c r="CX86" i="1"/>
  <c r="CV15" i="1"/>
  <c r="CX15" i="1"/>
  <c r="CV74" i="1"/>
  <c r="CX74" i="1"/>
  <c r="CV82" i="1"/>
  <c r="CX82" i="1"/>
  <c r="CV52" i="1"/>
  <c r="CX52" i="1"/>
  <c r="CV30" i="1"/>
  <c r="CX30" i="1"/>
  <c r="CV46" i="1"/>
  <c r="CX46" i="1"/>
  <c r="CV66" i="1"/>
  <c r="CX66" i="1"/>
  <c r="CV29" i="1"/>
  <c r="CX29" i="1"/>
  <c r="CV47" i="1"/>
  <c r="CX47" i="1"/>
  <c r="CV92" i="1"/>
  <c r="CX92" i="1"/>
  <c r="CV28" i="1"/>
  <c r="CX28" i="1"/>
  <c r="CV56" i="1"/>
  <c r="CX56" i="1"/>
  <c r="CV20" i="1"/>
  <c r="CX20" i="1"/>
  <c r="CV17" i="1"/>
  <c r="CX17" i="1"/>
  <c r="CV26" i="1"/>
  <c r="CX26" i="1"/>
  <c r="CV55" i="1"/>
  <c r="CX55" i="1"/>
  <c r="CV35" i="1"/>
  <c r="CX35" i="1"/>
  <c r="CV37" i="1"/>
  <c r="CX37" i="1"/>
  <c r="CV87" i="1"/>
  <c r="CX87" i="1"/>
  <c r="CV9" i="1"/>
  <c r="CX9" i="1"/>
  <c r="CV65" i="1"/>
  <c r="CX65" i="1"/>
  <c r="CV89" i="1"/>
  <c r="CX89" i="1"/>
  <c r="CV79" i="1"/>
  <c r="CX79" i="1"/>
  <c r="CV91" i="1"/>
  <c r="CX91" i="1"/>
  <c r="CV14" i="1"/>
  <c r="CX14" i="1"/>
  <c r="CV45" i="1"/>
  <c r="CX45" i="1"/>
  <c r="CV42" i="1"/>
  <c r="CX42" i="1"/>
  <c r="CV51" i="1"/>
  <c r="CX51" i="1"/>
  <c r="CV88" i="1"/>
  <c r="CX88" i="1"/>
  <c r="CV94" i="1"/>
  <c r="CX94" i="1"/>
  <c r="CV33" i="1"/>
  <c r="CX33" i="1"/>
  <c r="CV68" i="1"/>
  <c r="CX68" i="1"/>
  <c r="CV93" i="1"/>
  <c r="CX93" i="1"/>
  <c r="CV77" i="1"/>
  <c r="CX77" i="1"/>
  <c r="CV19" i="1"/>
  <c r="CW19" i="1" s="1"/>
  <c r="CX19" i="1"/>
  <c r="CY19" i="1" s="1"/>
  <c r="CV8" i="1"/>
  <c r="CX8" i="1"/>
  <c r="CV24" i="1"/>
  <c r="CX24" i="1"/>
  <c r="CV50" i="1"/>
  <c r="CX50" i="1"/>
  <c r="CV44" i="1"/>
  <c r="CX44" i="1"/>
  <c r="CV76" i="1"/>
  <c r="CX76" i="1"/>
  <c r="CV90" i="1"/>
  <c r="CX90" i="1"/>
  <c r="CV61" i="1"/>
  <c r="CX61" i="1"/>
  <c r="CV12" i="1"/>
  <c r="CX12" i="1"/>
  <c r="CV39" i="1"/>
  <c r="CX39" i="1"/>
  <c r="CV67" i="1"/>
  <c r="CX67" i="1"/>
  <c r="CV63" i="1"/>
  <c r="CX63" i="1"/>
  <c r="CV13" i="1"/>
  <c r="CX13" i="1"/>
  <c r="CV27" i="1"/>
  <c r="CX27" i="1"/>
  <c r="CV10" i="1"/>
  <c r="CX10" i="1"/>
  <c r="CV18" i="1"/>
  <c r="CX18" i="1"/>
  <c r="CL81" i="1"/>
  <c r="E77" i="14" s="1"/>
  <c r="CM81" i="1"/>
  <c r="F77" i="14" s="1"/>
  <c r="CL71" i="1"/>
  <c r="E68" i="14" s="1"/>
  <c r="CM71" i="1"/>
  <c r="F68" i="14" s="1"/>
  <c r="CL16" i="1"/>
  <c r="E16" i="14" s="1"/>
  <c r="CM16" i="1"/>
  <c r="F16" i="14" s="1"/>
  <c r="CM84" i="1"/>
  <c r="F80" i="14" s="1"/>
  <c r="CL84" i="1"/>
  <c r="E80" i="14" s="1"/>
  <c r="AO29" i="4"/>
  <c r="AL29" i="4"/>
  <c r="AK29" i="4"/>
  <c r="T29" i="4"/>
  <c r="AA29" i="4"/>
  <c r="AJ29" i="4"/>
  <c r="Y29" i="4"/>
  <c r="X29" i="4"/>
  <c r="AG29" i="4"/>
  <c r="AC29" i="4"/>
  <c r="V29" i="4"/>
  <c r="AF29" i="4"/>
  <c r="AH29" i="4"/>
  <c r="AE29" i="4"/>
  <c r="AN29" i="4"/>
  <c r="AM29" i="4"/>
  <c r="Z29" i="4"/>
  <c r="U29" i="4"/>
  <c r="AI29" i="4"/>
  <c r="AD29" i="4"/>
  <c r="W29" i="4"/>
  <c r="S29" i="4"/>
  <c r="AB29" i="4"/>
  <c r="Q28" i="4"/>
  <c r="H32" i="4"/>
  <c r="I31" i="4"/>
  <c r="N30" i="4"/>
  <c r="O30" i="4"/>
  <c r="P30" i="4" s="1"/>
  <c r="F33" i="4"/>
  <c r="G32" i="4"/>
  <c r="U9" i="14" l="1"/>
  <c r="H30" i="14"/>
  <c r="O79" i="14"/>
  <c r="M79" i="14"/>
  <c r="N79" i="14"/>
  <c r="N5" i="14"/>
  <c r="O5" i="14"/>
  <c r="M5" i="14"/>
  <c r="H79" i="14"/>
  <c r="M69" i="14"/>
  <c r="N69" i="14"/>
  <c r="O69" i="14"/>
  <c r="M67" i="14"/>
  <c r="O67" i="14"/>
  <c r="N67" i="14"/>
  <c r="H5" i="14"/>
  <c r="M30" i="14"/>
  <c r="O30" i="14"/>
  <c r="N30" i="14"/>
  <c r="H69" i="14"/>
  <c r="H67" i="14"/>
  <c r="DB5" i="1"/>
  <c r="DB83" i="1"/>
  <c r="DB73" i="1"/>
  <c r="DB70" i="1"/>
  <c r="DB31" i="1"/>
  <c r="CY61" i="1"/>
  <c r="CY77" i="1"/>
  <c r="CY51" i="1"/>
  <c r="CW45" i="1"/>
  <c r="G43" i="14" s="1"/>
  <c r="CY89" i="1"/>
  <c r="CY52" i="1"/>
  <c r="CW86" i="1"/>
  <c r="G82" i="14" s="1"/>
  <c r="CY60" i="1"/>
  <c r="CY21" i="1"/>
  <c r="CW54" i="1"/>
  <c r="G52" i="14" s="1"/>
  <c r="CY43" i="1"/>
  <c r="CW13" i="1"/>
  <c r="G13" i="14" s="1"/>
  <c r="CW67" i="1"/>
  <c r="G64" i="14" s="1"/>
  <c r="CW44" i="1"/>
  <c r="G42" i="14" s="1"/>
  <c r="CW24" i="1"/>
  <c r="G23" i="14" s="1"/>
  <c r="CY93" i="1"/>
  <c r="CY87" i="1"/>
  <c r="CW26" i="1"/>
  <c r="G25" i="14" s="1"/>
  <c r="CW28" i="1"/>
  <c r="G27" i="14" s="1"/>
  <c r="CY66" i="1"/>
  <c r="CY82" i="1"/>
  <c r="CY41" i="1"/>
  <c r="CY11" i="1"/>
  <c r="CW34" i="1"/>
  <c r="G33" i="14" s="1"/>
  <c r="CY69" i="1"/>
  <c r="CW61" i="1"/>
  <c r="G58" i="14" s="1"/>
  <c r="CY8" i="1"/>
  <c r="CW77" i="1"/>
  <c r="G73" i="14" s="1"/>
  <c r="CY68" i="1"/>
  <c r="CW51" i="1"/>
  <c r="G49" i="14" s="1"/>
  <c r="CW89" i="1"/>
  <c r="G85" i="14" s="1"/>
  <c r="CY37" i="1"/>
  <c r="CY17" i="1"/>
  <c r="CY92" i="1"/>
  <c r="CW52" i="1"/>
  <c r="G50" i="14" s="1"/>
  <c r="CW60" i="1"/>
  <c r="G57" i="14" s="1"/>
  <c r="CW21" i="1"/>
  <c r="G21" i="14" s="1"/>
  <c r="CW43" i="1"/>
  <c r="G41" i="14" s="1"/>
  <c r="CY78" i="1"/>
  <c r="CY10" i="1"/>
  <c r="CY90" i="1"/>
  <c r="CW93" i="1"/>
  <c r="G89" i="14" s="1"/>
  <c r="CY33" i="1"/>
  <c r="CY14" i="1"/>
  <c r="CY65" i="1"/>
  <c r="CW87" i="1"/>
  <c r="G83" i="14" s="1"/>
  <c r="CW66" i="1"/>
  <c r="G63" i="14" s="1"/>
  <c r="CW82" i="1"/>
  <c r="G78" i="14" s="1"/>
  <c r="CW41" i="1"/>
  <c r="G39" i="14" s="1"/>
  <c r="CY25" i="1"/>
  <c r="CY75" i="1"/>
  <c r="CW11" i="1"/>
  <c r="G11" i="14" s="1"/>
  <c r="CY64" i="1"/>
  <c r="CY85" i="1"/>
  <c r="CW69" i="1"/>
  <c r="G66" i="14" s="1"/>
  <c r="CY27" i="1"/>
  <c r="CW8" i="1"/>
  <c r="G8" i="14" s="1"/>
  <c r="CW68" i="1"/>
  <c r="G65" i="14" s="1"/>
  <c r="CW37" i="1"/>
  <c r="G35" i="14" s="1"/>
  <c r="CW17" i="1"/>
  <c r="G17" i="14" s="1"/>
  <c r="CW92" i="1"/>
  <c r="G88" i="14" s="1"/>
  <c r="CY46" i="1"/>
  <c r="CY74" i="1"/>
  <c r="CY22" i="1"/>
  <c r="CY53" i="1"/>
  <c r="CW78" i="1"/>
  <c r="G74" i="14" s="1"/>
  <c r="CW10" i="1"/>
  <c r="G10" i="14" s="1"/>
  <c r="CW90" i="1"/>
  <c r="G86" i="14" s="1"/>
  <c r="CW33" i="1"/>
  <c r="G32" i="14" s="1"/>
  <c r="CW14" i="1"/>
  <c r="G14" i="14" s="1"/>
  <c r="CW65" i="1"/>
  <c r="G62" i="14" s="1"/>
  <c r="CY35" i="1"/>
  <c r="CY20" i="1"/>
  <c r="CY47" i="1"/>
  <c r="CW25" i="1"/>
  <c r="G24" i="14" s="1"/>
  <c r="CW75" i="1"/>
  <c r="G71" i="14" s="1"/>
  <c r="CW64" i="1"/>
  <c r="G61" i="14" s="1"/>
  <c r="CW85" i="1"/>
  <c r="G81" i="14" s="1"/>
  <c r="CY76" i="1"/>
  <c r="CY94" i="1"/>
  <c r="CY91" i="1"/>
  <c r="CY9" i="1"/>
  <c r="CW46" i="1"/>
  <c r="G44" i="14" s="1"/>
  <c r="CW74" i="1"/>
  <c r="G70" i="14" s="1"/>
  <c r="CW22" i="1"/>
  <c r="G22" i="14" s="1"/>
  <c r="CY80" i="1"/>
  <c r="CY57" i="1"/>
  <c r="CY49" i="1"/>
  <c r="CY48" i="1"/>
  <c r="CW53" i="1"/>
  <c r="G51" i="14" s="1"/>
  <c r="CW27" i="1"/>
  <c r="G26" i="14" s="1"/>
  <c r="CY42" i="1"/>
  <c r="CW35" i="1"/>
  <c r="G34" i="14" s="1"/>
  <c r="CW20" i="1"/>
  <c r="G20" i="14" s="1"/>
  <c r="CW47" i="1"/>
  <c r="G45" i="14" s="1"/>
  <c r="CY30" i="1"/>
  <c r="CY15" i="1"/>
  <c r="CY62" i="1"/>
  <c r="CW94" i="1"/>
  <c r="G90" i="14" s="1"/>
  <c r="CW91" i="1"/>
  <c r="G87" i="14" s="1"/>
  <c r="CW9" i="1"/>
  <c r="G9" i="14" s="1"/>
  <c r="CY55" i="1"/>
  <c r="CY56" i="1"/>
  <c r="CY29" i="1"/>
  <c r="CW80" i="1"/>
  <c r="G76" i="14" s="1"/>
  <c r="CW57" i="1"/>
  <c r="G55" i="14" s="1"/>
  <c r="CW49" i="1"/>
  <c r="G47" i="14" s="1"/>
  <c r="CW48" i="1"/>
  <c r="G46" i="14" s="1"/>
  <c r="CY40" i="1"/>
  <c r="CY39" i="1"/>
  <c r="CY50" i="1"/>
  <c r="CY18" i="1"/>
  <c r="CY63" i="1"/>
  <c r="CW50" i="1"/>
  <c r="G48" i="14" s="1"/>
  <c r="CY12" i="1"/>
  <c r="CY88" i="1"/>
  <c r="CW42" i="1"/>
  <c r="G40" i="14" s="1"/>
  <c r="CY79" i="1"/>
  <c r="CW30" i="1"/>
  <c r="G29" i="14" s="1"/>
  <c r="CW15" i="1"/>
  <c r="G15" i="14" s="1"/>
  <c r="CY58" i="1"/>
  <c r="CY38" i="1"/>
  <c r="CY32" i="1"/>
  <c r="CY96" i="1"/>
  <c r="CW62" i="1"/>
  <c r="G59" i="14" s="1"/>
  <c r="CW39" i="1"/>
  <c r="G37" i="14" s="1"/>
  <c r="CW63" i="1"/>
  <c r="G60" i="14" s="1"/>
  <c r="CY45" i="1"/>
  <c r="CW55" i="1"/>
  <c r="G53" i="14" s="1"/>
  <c r="CW56" i="1"/>
  <c r="G54" i="14" s="1"/>
  <c r="CW29" i="1"/>
  <c r="G28" i="14" s="1"/>
  <c r="CY86" i="1"/>
  <c r="CY54" i="1"/>
  <c r="CW40" i="1"/>
  <c r="G38" i="14" s="1"/>
  <c r="CW76" i="1"/>
  <c r="G72" i="14" s="1"/>
  <c r="CW18" i="1"/>
  <c r="G18" i="14" s="1"/>
  <c r="CY13" i="1"/>
  <c r="CY67" i="1"/>
  <c r="CW12" i="1"/>
  <c r="G12" i="14" s="1"/>
  <c r="CY44" i="1"/>
  <c r="CY24" i="1"/>
  <c r="G19" i="14"/>
  <c r="CW88" i="1"/>
  <c r="G84" i="14" s="1"/>
  <c r="CW79" i="1"/>
  <c r="G75" i="14" s="1"/>
  <c r="CY26" i="1"/>
  <c r="CY28" i="1"/>
  <c r="CW58" i="1"/>
  <c r="G56" i="14" s="1"/>
  <c r="CW38" i="1"/>
  <c r="G36" i="14" s="1"/>
  <c r="CW32" i="1"/>
  <c r="G31" i="14" s="1"/>
  <c r="CW96" i="1"/>
  <c r="G92" i="14" s="1"/>
  <c r="CY34" i="1"/>
  <c r="CV16" i="1"/>
  <c r="CX16" i="1"/>
  <c r="CV81" i="1"/>
  <c r="CX81" i="1"/>
  <c r="CV71" i="1"/>
  <c r="CX71" i="1"/>
  <c r="CV84" i="1"/>
  <c r="CX84" i="1"/>
  <c r="Q29" i="4"/>
  <c r="N31" i="4"/>
  <c r="O31" i="4"/>
  <c r="P31" i="4" s="1"/>
  <c r="T30" i="4"/>
  <c r="AJ30" i="4"/>
  <c r="S30" i="4"/>
  <c r="AC30" i="4"/>
  <c r="AN30" i="4"/>
  <c r="AA30" i="4"/>
  <c r="AD30" i="4"/>
  <c r="AB30" i="4"/>
  <c r="AH30" i="4"/>
  <c r="AE30" i="4"/>
  <c r="X30" i="4"/>
  <c r="AK30" i="4"/>
  <c r="W30" i="4"/>
  <c r="AF30" i="4"/>
  <c r="Y30" i="4"/>
  <c r="AI30" i="4"/>
  <c r="AO30" i="4"/>
  <c r="Z30" i="4"/>
  <c r="AG30" i="4"/>
  <c r="AM30" i="4"/>
  <c r="AL30" i="4"/>
  <c r="V30" i="4"/>
  <c r="U30" i="4"/>
  <c r="H33" i="4"/>
  <c r="I32" i="4"/>
  <c r="F34" i="4"/>
  <c r="G33" i="4"/>
  <c r="M84" i="14" l="1"/>
  <c r="N84" i="14"/>
  <c r="O84" i="14"/>
  <c r="N75" i="14"/>
  <c r="M75" i="14"/>
  <c r="O75" i="14"/>
  <c r="H82" i="14"/>
  <c r="N15" i="14"/>
  <c r="O15" i="14"/>
  <c r="M15" i="14"/>
  <c r="M26" i="14"/>
  <c r="O26" i="14"/>
  <c r="N26" i="14"/>
  <c r="N10" i="14"/>
  <c r="M10" i="14"/>
  <c r="O10" i="14"/>
  <c r="M31" i="14"/>
  <c r="O31" i="14"/>
  <c r="N31" i="14"/>
  <c r="H53" i="14"/>
  <c r="H29" i="14"/>
  <c r="N70" i="14"/>
  <c r="M70" i="14"/>
  <c r="O70" i="14"/>
  <c r="H34" i="14"/>
  <c r="M17" i="14"/>
  <c r="O17" i="14"/>
  <c r="N17" i="14"/>
  <c r="N78" i="14"/>
  <c r="M78" i="14"/>
  <c r="O78" i="14"/>
  <c r="O57" i="14"/>
  <c r="M57" i="14"/>
  <c r="N57" i="14"/>
  <c r="M49" i="14"/>
  <c r="N49" i="14"/>
  <c r="O49" i="14"/>
  <c r="O25" i="14"/>
  <c r="M25" i="14"/>
  <c r="N25" i="14"/>
  <c r="N13" i="14"/>
  <c r="O13" i="14"/>
  <c r="M13" i="14"/>
  <c r="H50" i="14"/>
  <c r="Q69" i="14"/>
  <c r="R69" i="14"/>
  <c r="P69" i="14"/>
  <c r="O46" i="14"/>
  <c r="M46" i="14"/>
  <c r="N46" i="14"/>
  <c r="N51" i="14"/>
  <c r="M51" i="14"/>
  <c r="O51" i="14"/>
  <c r="N81" i="14"/>
  <c r="M81" i="14"/>
  <c r="O81" i="14"/>
  <c r="N74" i="14"/>
  <c r="O74" i="14"/>
  <c r="M74" i="14"/>
  <c r="H81" i="14"/>
  <c r="N89" i="14"/>
  <c r="O89" i="14"/>
  <c r="M89" i="14"/>
  <c r="N33" i="14"/>
  <c r="M33" i="14"/>
  <c r="O33" i="14"/>
  <c r="Q79" i="14"/>
  <c r="R79" i="14"/>
  <c r="P79" i="14"/>
  <c r="H13" i="14"/>
  <c r="H92" i="14"/>
  <c r="H60" i="14"/>
  <c r="N47" i="14"/>
  <c r="M47" i="14"/>
  <c r="O47" i="14"/>
  <c r="N9" i="14"/>
  <c r="O9" i="14"/>
  <c r="M9" i="14"/>
  <c r="N45" i="14"/>
  <c r="M45" i="14"/>
  <c r="O45" i="14"/>
  <c r="H46" i="14"/>
  <c r="M61" i="14"/>
  <c r="O61" i="14"/>
  <c r="N61" i="14"/>
  <c r="H51" i="14"/>
  <c r="N63" i="14"/>
  <c r="M63" i="14"/>
  <c r="O63" i="14"/>
  <c r="M50" i="14"/>
  <c r="O50" i="14"/>
  <c r="N50" i="14"/>
  <c r="H65" i="14"/>
  <c r="H11" i="14"/>
  <c r="H41" i="14"/>
  <c r="H85" i="14"/>
  <c r="O36" i="14"/>
  <c r="N36" i="14"/>
  <c r="M36" i="14"/>
  <c r="H75" i="14"/>
  <c r="N44" i="14"/>
  <c r="M44" i="14"/>
  <c r="O44" i="14"/>
  <c r="N62" i="14"/>
  <c r="O62" i="14"/>
  <c r="M62" i="14"/>
  <c r="N35" i="14"/>
  <c r="M35" i="14"/>
  <c r="O35" i="14"/>
  <c r="H61" i="14"/>
  <c r="H86" i="14"/>
  <c r="H83" i="14"/>
  <c r="O29" i="14"/>
  <c r="M29" i="14"/>
  <c r="N29" i="14"/>
  <c r="M53" i="14"/>
  <c r="O53" i="14"/>
  <c r="N53" i="14"/>
  <c r="H31" i="14"/>
  <c r="H18" i="14"/>
  <c r="N87" i="14"/>
  <c r="M87" i="14"/>
  <c r="O87" i="14"/>
  <c r="O20" i="14"/>
  <c r="N20" i="14"/>
  <c r="M20" i="14"/>
  <c r="H47" i="14"/>
  <c r="H9" i="14"/>
  <c r="O14" i="14"/>
  <c r="N14" i="14"/>
  <c r="M14" i="14"/>
  <c r="H22" i="14"/>
  <c r="N65" i="14"/>
  <c r="M65" i="14"/>
  <c r="O65" i="14"/>
  <c r="N83" i="14"/>
  <c r="O83" i="14"/>
  <c r="M83" i="14"/>
  <c r="H10" i="14"/>
  <c r="H88" i="14"/>
  <c r="O73" i="14"/>
  <c r="M73" i="14"/>
  <c r="N73" i="14"/>
  <c r="H39" i="14"/>
  <c r="H89" i="14"/>
  <c r="O52" i="14"/>
  <c r="M52" i="14"/>
  <c r="N52" i="14"/>
  <c r="N43" i="14"/>
  <c r="M43" i="14"/>
  <c r="O43" i="14"/>
  <c r="N28" i="14"/>
  <c r="M28" i="14"/>
  <c r="O28" i="14"/>
  <c r="O40" i="14"/>
  <c r="N40" i="14"/>
  <c r="M40" i="14"/>
  <c r="M55" i="14"/>
  <c r="O55" i="14"/>
  <c r="N55" i="14"/>
  <c r="O71" i="14"/>
  <c r="M71" i="14"/>
  <c r="N71" i="14"/>
  <c r="N11" i="14"/>
  <c r="O11" i="14"/>
  <c r="M11" i="14"/>
  <c r="Q5" i="14"/>
  <c r="P5" i="14"/>
  <c r="R5" i="14"/>
  <c r="M19" i="14"/>
  <c r="N19" i="14"/>
  <c r="O19" i="14"/>
  <c r="M56" i="14"/>
  <c r="O56" i="14"/>
  <c r="N56" i="14"/>
  <c r="H27" i="14"/>
  <c r="H43" i="14"/>
  <c r="H84" i="14"/>
  <c r="N76" i="14"/>
  <c r="M76" i="14"/>
  <c r="O76" i="14"/>
  <c r="O34" i="14"/>
  <c r="N34" i="14"/>
  <c r="M34" i="14"/>
  <c r="H55" i="14"/>
  <c r="H87" i="14"/>
  <c r="M32" i="14"/>
  <c r="O32" i="14"/>
  <c r="N32" i="14"/>
  <c r="H70" i="14"/>
  <c r="N8" i="14"/>
  <c r="M8" i="14"/>
  <c r="O8" i="14"/>
  <c r="H71" i="14"/>
  <c r="H62" i="14"/>
  <c r="H74" i="14"/>
  <c r="H17" i="14"/>
  <c r="H8" i="14"/>
  <c r="H78" i="14"/>
  <c r="N23" i="14"/>
  <c r="O23" i="14"/>
  <c r="M23" i="14"/>
  <c r="H21" i="14"/>
  <c r="H49" i="14"/>
  <c r="N54" i="14"/>
  <c r="M54" i="14"/>
  <c r="O54" i="14"/>
  <c r="H42" i="14"/>
  <c r="H36" i="14"/>
  <c r="H48" i="14"/>
  <c r="M90" i="14"/>
  <c r="O90" i="14"/>
  <c r="N90" i="14"/>
  <c r="O24" i="14"/>
  <c r="N24" i="14"/>
  <c r="M24" i="14"/>
  <c r="M18" i="14"/>
  <c r="O18" i="14"/>
  <c r="N18" i="14"/>
  <c r="H23" i="14"/>
  <c r="N38" i="14"/>
  <c r="M38" i="14"/>
  <c r="O38" i="14"/>
  <c r="H33" i="14"/>
  <c r="H25" i="14"/>
  <c r="M12" i="14"/>
  <c r="N12" i="14"/>
  <c r="O12" i="14"/>
  <c r="H52" i="14"/>
  <c r="H19" i="14"/>
  <c r="H28" i="14"/>
  <c r="H40" i="14"/>
  <c r="H90" i="14"/>
  <c r="H45" i="14"/>
  <c r="H44" i="14"/>
  <c r="H24" i="14"/>
  <c r="H14" i="14"/>
  <c r="H35" i="14"/>
  <c r="M58" i="14"/>
  <c r="N58" i="14"/>
  <c r="O58" i="14"/>
  <c r="H63" i="14"/>
  <c r="O42" i="14"/>
  <c r="M42" i="14"/>
  <c r="N42" i="14"/>
  <c r="H57" i="14"/>
  <c r="H73" i="14"/>
  <c r="N48" i="14"/>
  <c r="O48" i="14"/>
  <c r="M48" i="14"/>
  <c r="N72" i="14"/>
  <c r="M72" i="14"/>
  <c r="O72" i="14"/>
  <c r="O60" i="14"/>
  <c r="N60" i="14"/>
  <c r="M60" i="14"/>
  <c r="H56" i="14"/>
  <c r="H37" i="14"/>
  <c r="H59" i="14"/>
  <c r="H76" i="14"/>
  <c r="O86" i="14"/>
  <c r="N86" i="14"/>
  <c r="M86" i="14"/>
  <c r="H26" i="14"/>
  <c r="N41" i="14"/>
  <c r="M41" i="14"/>
  <c r="O41" i="14"/>
  <c r="P30" i="14"/>
  <c r="Q30" i="14"/>
  <c r="R30" i="14"/>
  <c r="N59" i="14"/>
  <c r="M59" i="14"/>
  <c r="O59" i="14"/>
  <c r="N92" i="14"/>
  <c r="M92" i="14"/>
  <c r="O92" i="14"/>
  <c r="H64" i="14"/>
  <c r="M37" i="14"/>
  <c r="N37" i="14"/>
  <c r="O37" i="14"/>
  <c r="H12" i="14"/>
  <c r="H38" i="14"/>
  <c r="H54" i="14"/>
  <c r="H15" i="14"/>
  <c r="M22" i="14"/>
  <c r="N22" i="14"/>
  <c r="O22" i="14"/>
  <c r="H72" i="14"/>
  <c r="H20" i="14"/>
  <c r="N88" i="14"/>
  <c r="O88" i="14"/>
  <c r="M88" i="14"/>
  <c r="N66" i="14"/>
  <c r="M66" i="14"/>
  <c r="O66" i="14"/>
  <c r="N39" i="14"/>
  <c r="M39" i="14"/>
  <c r="O39" i="14"/>
  <c r="H32" i="14"/>
  <c r="N21" i="14"/>
  <c r="O21" i="14"/>
  <c r="M21" i="14"/>
  <c r="O85" i="14"/>
  <c r="N85" i="14"/>
  <c r="M85" i="14"/>
  <c r="H66" i="14"/>
  <c r="N27" i="14"/>
  <c r="O27" i="14"/>
  <c r="M27" i="14"/>
  <c r="N64" i="14"/>
  <c r="M64" i="14"/>
  <c r="O64" i="14"/>
  <c r="N82" i="14"/>
  <c r="M82" i="14"/>
  <c r="O82" i="14"/>
  <c r="H58" i="14"/>
  <c r="Q67" i="14"/>
  <c r="R67" i="14"/>
  <c r="P67" i="14"/>
  <c r="DB79" i="1"/>
  <c r="DB41" i="1"/>
  <c r="DB21" i="1"/>
  <c r="DB89" i="1"/>
  <c r="DB28" i="1"/>
  <c r="DB67" i="1"/>
  <c r="DB86" i="1"/>
  <c r="DB69" i="1"/>
  <c r="DB78" i="1"/>
  <c r="DB13" i="1"/>
  <c r="DB17" i="1"/>
  <c r="DB10" i="1"/>
  <c r="DB53" i="1"/>
  <c r="DB93" i="1"/>
  <c r="DB49" i="1"/>
  <c r="DB65" i="1"/>
  <c r="DB37" i="1"/>
  <c r="DB52" i="1"/>
  <c r="DB22" i="1"/>
  <c r="DB62" i="1"/>
  <c r="DB19" i="1"/>
  <c r="DB64" i="1"/>
  <c r="DB66" i="1"/>
  <c r="DB39" i="1"/>
  <c r="DB29" i="1"/>
  <c r="DB26" i="1"/>
  <c r="DB18" i="1"/>
  <c r="DB55" i="1"/>
  <c r="DB20" i="1"/>
  <c r="DB68" i="1"/>
  <c r="DB87" i="1"/>
  <c r="DB54" i="1"/>
  <c r="DB27" i="1"/>
  <c r="DB50" i="1"/>
  <c r="DB51" i="1"/>
  <c r="DB9" i="1"/>
  <c r="DB91" i="1"/>
  <c r="DB75" i="1"/>
  <c r="DB14" i="1"/>
  <c r="DB11" i="1"/>
  <c r="DB77" i="1"/>
  <c r="DB45" i="1"/>
  <c r="DB96" i="1"/>
  <c r="DB30" i="1"/>
  <c r="DB34" i="1"/>
  <c r="DB56" i="1"/>
  <c r="DB76" i="1"/>
  <c r="DB35" i="1"/>
  <c r="DB8" i="1"/>
  <c r="DB15" i="1"/>
  <c r="DB32" i="1"/>
  <c r="DB85" i="1"/>
  <c r="DB82" i="1"/>
  <c r="DB47" i="1"/>
  <c r="DB42" i="1"/>
  <c r="DB94" i="1"/>
  <c r="DB25" i="1"/>
  <c r="DB24" i="1"/>
  <c r="DB88" i="1"/>
  <c r="DB74" i="1"/>
  <c r="DB38" i="1"/>
  <c r="DB58" i="1"/>
  <c r="DB40" i="1"/>
  <c r="DB12" i="1"/>
  <c r="DB90" i="1"/>
  <c r="DB43" i="1"/>
  <c r="DB44" i="1"/>
  <c r="DB92" i="1"/>
  <c r="DB48" i="1"/>
  <c r="DB60" i="1"/>
  <c r="DB46" i="1"/>
  <c r="DB57" i="1"/>
  <c r="DB80" i="1"/>
  <c r="DB33" i="1"/>
  <c r="DB63" i="1"/>
  <c r="DB61" i="1"/>
  <c r="CY84" i="1"/>
  <c r="CY81" i="1"/>
  <c r="CW81" i="1"/>
  <c r="G77" i="14" s="1"/>
  <c r="CY71" i="1"/>
  <c r="CW84" i="1"/>
  <c r="G80" i="14" s="1"/>
  <c r="CW71" i="1"/>
  <c r="G68" i="14" s="1"/>
  <c r="CY16" i="1"/>
  <c r="CW16" i="1"/>
  <c r="G16" i="14" s="1"/>
  <c r="Q30" i="4"/>
  <c r="AA31" i="4"/>
  <c r="V31" i="4"/>
  <c r="T31" i="4"/>
  <c r="AE31" i="4"/>
  <c r="AK31" i="4"/>
  <c r="AI31" i="4"/>
  <c r="W31" i="4"/>
  <c r="U31" i="4"/>
  <c r="AF31" i="4"/>
  <c r="AG31" i="4"/>
  <c r="AM31" i="4"/>
  <c r="S31" i="4"/>
  <c r="Z31" i="4"/>
  <c r="AN31" i="4"/>
  <c r="AH31" i="4"/>
  <c r="Y31" i="4"/>
  <c r="AO31" i="4"/>
  <c r="X31" i="4"/>
  <c r="AJ31" i="4"/>
  <c r="AD31" i="4"/>
  <c r="AC31" i="4"/>
  <c r="AB31" i="4"/>
  <c r="AL31" i="4"/>
  <c r="O32" i="4"/>
  <c r="P32" i="4" s="1"/>
  <c r="N32" i="4"/>
  <c r="H34" i="4"/>
  <c r="I33" i="4"/>
  <c r="F35" i="4"/>
  <c r="G34" i="4"/>
  <c r="N77" i="14" l="1"/>
  <c r="O77" i="14"/>
  <c r="M77" i="14"/>
  <c r="Q72" i="14"/>
  <c r="P72" i="14"/>
  <c r="R72" i="14"/>
  <c r="Q45" i="14"/>
  <c r="P45" i="14"/>
  <c r="R45" i="14"/>
  <c r="Q22" i="14"/>
  <c r="P22" i="14"/>
  <c r="R22" i="14"/>
  <c r="Q29" i="14"/>
  <c r="R29" i="14"/>
  <c r="P29" i="14"/>
  <c r="H77" i="14"/>
  <c r="Q59" i="14"/>
  <c r="P59" i="14"/>
  <c r="R59" i="14"/>
  <c r="Q42" i="14"/>
  <c r="P42" i="14"/>
  <c r="R42" i="14"/>
  <c r="Q78" i="14"/>
  <c r="P78" i="14"/>
  <c r="R78" i="14"/>
  <c r="Q83" i="14"/>
  <c r="P83" i="14"/>
  <c r="R83" i="14"/>
  <c r="Q11" i="14"/>
  <c r="P11" i="14"/>
  <c r="R11" i="14"/>
  <c r="Q90" i="14"/>
  <c r="P90" i="14"/>
  <c r="R90" i="14"/>
  <c r="R88" i="14"/>
  <c r="Q88" i="14"/>
  <c r="P88" i="14"/>
  <c r="Q53" i="14"/>
  <c r="P53" i="14"/>
  <c r="R53" i="14"/>
  <c r="H80" i="14"/>
  <c r="Q66" i="14"/>
  <c r="P66" i="14"/>
  <c r="R66" i="14"/>
  <c r="R37" i="14"/>
  <c r="P37" i="14"/>
  <c r="Q37" i="14"/>
  <c r="R25" i="14"/>
  <c r="P25" i="14"/>
  <c r="Q25" i="14"/>
  <c r="Q8" i="14"/>
  <c r="R8" i="14"/>
  <c r="P8" i="14"/>
  <c r="Q18" i="14"/>
  <c r="R18" i="14"/>
  <c r="P18" i="14"/>
  <c r="R86" i="14"/>
  <c r="P86" i="14"/>
  <c r="Q86" i="14"/>
  <c r="Q65" i="14"/>
  <c r="R65" i="14"/>
  <c r="P65" i="14"/>
  <c r="Q60" i="14"/>
  <c r="P60" i="14"/>
  <c r="R60" i="14"/>
  <c r="Q58" i="14"/>
  <c r="R58" i="14"/>
  <c r="P58" i="14"/>
  <c r="R64" i="14"/>
  <c r="Q64" i="14"/>
  <c r="P64" i="14"/>
  <c r="R73" i="14"/>
  <c r="Q73" i="14"/>
  <c r="P73" i="14"/>
  <c r="Q35" i="14"/>
  <c r="P35" i="14"/>
  <c r="R35" i="14"/>
  <c r="R40" i="14"/>
  <c r="P40" i="14"/>
  <c r="Q40" i="14"/>
  <c r="Q70" i="14"/>
  <c r="R70" i="14"/>
  <c r="P70" i="14"/>
  <c r="Q10" i="14"/>
  <c r="P10" i="14"/>
  <c r="R10" i="14"/>
  <c r="R75" i="14"/>
  <c r="P75" i="14"/>
  <c r="Q75" i="14"/>
  <c r="Q46" i="14"/>
  <c r="R46" i="14"/>
  <c r="P46" i="14"/>
  <c r="Q82" i="14"/>
  <c r="P82" i="14"/>
  <c r="R82" i="14"/>
  <c r="O68" i="14"/>
  <c r="M68" i="14"/>
  <c r="N68" i="14"/>
  <c r="R15" i="14"/>
  <c r="Q15" i="14"/>
  <c r="P15" i="14"/>
  <c r="Q56" i="14"/>
  <c r="R56" i="14"/>
  <c r="P56" i="14"/>
  <c r="Q33" i="14"/>
  <c r="R33" i="14"/>
  <c r="P33" i="14"/>
  <c r="Q17" i="14"/>
  <c r="R17" i="14"/>
  <c r="P17" i="14"/>
  <c r="Q9" i="14"/>
  <c r="R9" i="14"/>
  <c r="P9" i="14"/>
  <c r="Q31" i="14"/>
  <c r="P31" i="14"/>
  <c r="R31" i="14"/>
  <c r="R61" i="14"/>
  <c r="Q61" i="14"/>
  <c r="P61" i="14"/>
  <c r="Q92" i="14"/>
  <c r="P92" i="14"/>
  <c r="R92" i="14"/>
  <c r="H16" i="14"/>
  <c r="R26" i="14"/>
  <c r="Q26" i="14"/>
  <c r="P26" i="14"/>
  <c r="Q57" i="14"/>
  <c r="P57" i="14"/>
  <c r="R57" i="14"/>
  <c r="R14" i="14"/>
  <c r="Q14" i="14"/>
  <c r="P14" i="14"/>
  <c r="R28" i="14"/>
  <c r="P28" i="14"/>
  <c r="Q28" i="14"/>
  <c r="R49" i="14"/>
  <c r="Q49" i="14"/>
  <c r="P49" i="14"/>
  <c r="Q81" i="14"/>
  <c r="P81" i="14"/>
  <c r="R81" i="14"/>
  <c r="Q54" i="14"/>
  <c r="P54" i="14"/>
  <c r="R54" i="14"/>
  <c r="R74" i="14"/>
  <c r="P74" i="14"/>
  <c r="Q74" i="14"/>
  <c r="Q84" i="14"/>
  <c r="P84" i="14"/>
  <c r="R84" i="14"/>
  <c r="Q89" i="14"/>
  <c r="P89" i="14"/>
  <c r="R89" i="14"/>
  <c r="Q47" i="14"/>
  <c r="P47" i="14"/>
  <c r="R47" i="14"/>
  <c r="R13" i="14"/>
  <c r="Q13" i="14"/>
  <c r="P13" i="14"/>
  <c r="Q34" i="14"/>
  <c r="P34" i="14"/>
  <c r="R34" i="14"/>
  <c r="Q24" i="14"/>
  <c r="R24" i="14"/>
  <c r="P24" i="14"/>
  <c r="Q19" i="14"/>
  <c r="P19" i="14"/>
  <c r="R19" i="14"/>
  <c r="Q21" i="14"/>
  <c r="R21" i="14"/>
  <c r="P21" i="14"/>
  <c r="M16" i="14"/>
  <c r="N16" i="14"/>
  <c r="O16" i="14"/>
  <c r="R38" i="14"/>
  <c r="Q38" i="14"/>
  <c r="P38" i="14"/>
  <c r="Q48" i="14"/>
  <c r="P48" i="14"/>
  <c r="R48" i="14"/>
  <c r="R62" i="14"/>
  <c r="Q62" i="14"/>
  <c r="P62" i="14"/>
  <c r="R87" i="14"/>
  <c r="P87" i="14"/>
  <c r="Q87" i="14"/>
  <c r="Q43" i="14"/>
  <c r="P43" i="14"/>
  <c r="R43" i="14"/>
  <c r="R39" i="14"/>
  <c r="Q39" i="14"/>
  <c r="P39" i="14"/>
  <c r="R85" i="14"/>
  <c r="Q85" i="14"/>
  <c r="P85" i="14"/>
  <c r="Q20" i="14"/>
  <c r="P20" i="14"/>
  <c r="R20" i="14"/>
  <c r="Q44" i="14"/>
  <c r="R44" i="14"/>
  <c r="P44" i="14"/>
  <c r="R52" i="14"/>
  <c r="Q52" i="14"/>
  <c r="P52" i="14"/>
  <c r="Q23" i="14"/>
  <c r="P23" i="14"/>
  <c r="R23" i="14"/>
  <c r="O80" i="14"/>
  <c r="M80" i="14"/>
  <c r="N80" i="14"/>
  <c r="H68" i="14"/>
  <c r="P32" i="14"/>
  <c r="R32" i="14"/>
  <c r="Q32" i="14"/>
  <c r="Q12" i="14"/>
  <c r="R12" i="14"/>
  <c r="P12" i="14"/>
  <c r="R76" i="14"/>
  <c r="P76" i="14"/>
  <c r="Q76" i="14"/>
  <c r="R63" i="14"/>
  <c r="P63" i="14"/>
  <c r="Q63" i="14"/>
  <c r="Q36" i="14"/>
  <c r="P36" i="14"/>
  <c r="R36" i="14"/>
  <c r="Q71" i="14"/>
  <c r="P71" i="14"/>
  <c r="R71" i="14"/>
  <c r="Q55" i="14"/>
  <c r="P55" i="14"/>
  <c r="R55" i="14"/>
  <c r="R27" i="14"/>
  <c r="Q27" i="14"/>
  <c r="P27" i="14"/>
  <c r="Q41" i="14"/>
  <c r="R41" i="14"/>
  <c r="P41" i="14"/>
  <c r="R51" i="14"/>
  <c r="P51" i="14"/>
  <c r="Q51" i="14"/>
  <c r="R50" i="14"/>
  <c r="Q50" i="14"/>
  <c r="P50" i="14"/>
  <c r="DB16" i="1"/>
  <c r="DB71" i="1"/>
  <c r="DB84" i="1"/>
  <c r="DB81" i="1"/>
  <c r="N33" i="4"/>
  <c r="O33" i="4"/>
  <c r="P33" i="4" s="1"/>
  <c r="H35" i="4"/>
  <c r="I34" i="4"/>
  <c r="AI32" i="4"/>
  <c r="AO32" i="4"/>
  <c r="AL32" i="4"/>
  <c r="S32" i="4"/>
  <c r="W32" i="4"/>
  <c r="AK32" i="4"/>
  <c r="AF32" i="4"/>
  <c r="AB32" i="4"/>
  <c r="AJ32" i="4"/>
  <c r="AD32" i="4"/>
  <c r="AH32" i="4"/>
  <c r="AA32" i="4"/>
  <c r="T32" i="4"/>
  <c r="AM32" i="4"/>
  <c r="AE32" i="4"/>
  <c r="AC32" i="4"/>
  <c r="U32" i="4"/>
  <c r="Y32" i="4"/>
  <c r="AG32" i="4"/>
  <c r="AN32" i="4"/>
  <c r="X32" i="4"/>
  <c r="V32" i="4"/>
  <c r="Z32" i="4"/>
  <c r="Q31" i="4"/>
  <c r="G35" i="4"/>
  <c r="F36" i="4"/>
  <c r="Q68" i="14" l="1"/>
  <c r="R68" i="14"/>
  <c r="P68" i="14"/>
  <c r="Q80" i="14"/>
  <c r="P80" i="14"/>
  <c r="R80" i="14"/>
  <c r="R16" i="14"/>
  <c r="P16" i="14"/>
  <c r="Q16" i="14"/>
  <c r="Q77" i="14"/>
  <c r="R77" i="14"/>
  <c r="P77" i="14"/>
  <c r="H36" i="4"/>
  <c r="I35" i="4"/>
  <c r="Q32" i="4"/>
  <c r="N34" i="4"/>
  <c r="O34" i="4"/>
  <c r="P34" i="4" s="1"/>
  <c r="AE33" i="4"/>
  <c r="Z33" i="4"/>
  <c r="AB33" i="4"/>
  <c r="AF33" i="4"/>
  <c r="W33" i="4"/>
  <c r="X33" i="4"/>
  <c r="AG33" i="4"/>
  <c r="AK33" i="4"/>
  <c r="V33" i="4"/>
  <c r="AA33" i="4"/>
  <c r="AN33" i="4"/>
  <c r="AC33" i="4"/>
  <c r="AM33" i="4"/>
  <c r="T33" i="4"/>
  <c r="AH33" i="4"/>
  <c r="Y33" i="4"/>
  <c r="S33" i="4"/>
  <c r="AD33" i="4"/>
  <c r="AJ33" i="4"/>
  <c r="AO33" i="4"/>
  <c r="U33" i="4"/>
  <c r="AL33" i="4"/>
  <c r="AI33" i="4"/>
  <c r="F37" i="4"/>
  <c r="G36" i="4"/>
  <c r="Q33" i="4" l="1"/>
  <c r="N35" i="4"/>
  <c r="O35" i="4"/>
  <c r="P35" i="4" s="1"/>
  <c r="AA34" i="4"/>
  <c r="V34" i="4"/>
  <c r="Z34" i="4"/>
  <c r="AB34" i="4"/>
  <c r="AO34" i="4"/>
  <c r="AJ34" i="4"/>
  <c r="AG34" i="4"/>
  <c r="W34" i="4"/>
  <c r="AN34" i="4"/>
  <c r="AI34" i="4"/>
  <c r="AH34" i="4"/>
  <c r="AD34" i="4"/>
  <c r="S34" i="4"/>
  <c r="T34" i="4"/>
  <c r="U34" i="4"/>
  <c r="Y34" i="4"/>
  <c r="AM34" i="4"/>
  <c r="X34" i="4"/>
  <c r="AE34" i="4"/>
  <c r="AC34" i="4"/>
  <c r="AF34" i="4"/>
  <c r="AK34" i="4"/>
  <c r="AL34" i="4"/>
  <c r="H37" i="4"/>
  <c r="I36" i="4"/>
  <c r="F38" i="4"/>
  <c r="G37" i="4"/>
  <c r="AL35" i="4" l="1"/>
  <c r="AI35" i="4"/>
  <c r="AB35" i="4"/>
  <c r="AM35" i="4"/>
  <c r="Y35" i="4"/>
  <c r="AC35" i="4"/>
  <c r="AG35" i="4"/>
  <c r="AO35" i="4"/>
  <c r="S35" i="4"/>
  <c r="U35" i="4"/>
  <c r="AF35" i="4"/>
  <c r="W35" i="4"/>
  <c r="AE35" i="4"/>
  <c r="T35" i="4"/>
  <c r="Z35" i="4"/>
  <c r="X35" i="4"/>
  <c r="AD35" i="4"/>
  <c r="AN35" i="4"/>
  <c r="AH35" i="4"/>
  <c r="AJ35" i="4"/>
  <c r="AA35" i="4"/>
  <c r="AK35" i="4"/>
  <c r="V35" i="4"/>
  <c r="Q34" i="4"/>
  <c r="N36" i="4"/>
  <c r="O36" i="4"/>
  <c r="P36" i="4" s="1"/>
  <c r="H38" i="4"/>
  <c r="I37" i="4"/>
  <c r="G38" i="4"/>
  <c r="F39" i="4"/>
  <c r="Q35" i="4" l="1"/>
  <c r="N37" i="4"/>
  <c r="O37" i="4"/>
  <c r="P37" i="4" s="1"/>
  <c r="T36" i="4"/>
  <c r="AO36" i="4"/>
  <c r="Z36" i="4"/>
  <c r="V36" i="4"/>
  <c r="U36" i="4"/>
  <c r="AE36" i="4"/>
  <c r="AA36" i="4"/>
  <c r="S36" i="4"/>
  <c r="AC36" i="4"/>
  <c r="AN36" i="4"/>
  <c r="AB36" i="4"/>
  <c r="X36" i="4"/>
  <c r="Y36" i="4"/>
  <c r="AG36" i="4"/>
  <c r="AF36" i="4"/>
  <c r="AM36" i="4"/>
  <c r="AJ36" i="4"/>
  <c r="AD36" i="4"/>
  <c r="AL36" i="4"/>
  <c r="AK36" i="4"/>
  <c r="AH36" i="4"/>
  <c r="AI36" i="4"/>
  <c r="W36" i="4"/>
  <c r="H39" i="4"/>
  <c r="I38" i="4"/>
  <c r="G39" i="4"/>
  <c r="F40" i="4"/>
  <c r="AI37" i="4" l="1"/>
  <c r="AB37" i="4"/>
  <c r="W37" i="4"/>
  <c r="AC37" i="4"/>
  <c r="AG37" i="4"/>
  <c r="AF37" i="4"/>
  <c r="AO37" i="4"/>
  <c r="U37" i="4"/>
  <c r="Z37" i="4"/>
  <c r="AH37" i="4"/>
  <c r="AN37" i="4"/>
  <c r="V37" i="4"/>
  <c r="AM37" i="4"/>
  <c r="S37" i="4"/>
  <c r="X37" i="4"/>
  <c r="AJ37" i="4"/>
  <c r="AE37" i="4"/>
  <c r="AK37" i="4"/>
  <c r="T37" i="4"/>
  <c r="AA37" i="4"/>
  <c r="AD37" i="4"/>
  <c r="Y37" i="4"/>
  <c r="AL37" i="4"/>
  <c r="Q36" i="4"/>
  <c r="O38" i="4"/>
  <c r="P38" i="4" s="1"/>
  <c r="N38" i="4"/>
  <c r="H40" i="4"/>
  <c r="I39" i="4"/>
  <c r="G40" i="4"/>
  <c r="F41" i="4"/>
  <c r="N39" i="4" l="1"/>
  <c r="O39" i="4"/>
  <c r="P39" i="4" s="1"/>
  <c r="H41" i="4"/>
  <c r="I40" i="4"/>
  <c r="Q37" i="4"/>
  <c r="AB38" i="4"/>
  <c r="W38" i="4"/>
  <c r="AF38" i="4"/>
  <c r="S38" i="4"/>
  <c r="U38" i="4"/>
  <c r="AE38" i="4"/>
  <c r="X38" i="4"/>
  <c r="AC38" i="4"/>
  <c r="AL38" i="4"/>
  <c r="AM38" i="4"/>
  <c r="V38" i="4"/>
  <c r="AN38" i="4"/>
  <c r="AH38" i="4"/>
  <c r="AJ38" i="4"/>
  <c r="AG38" i="4"/>
  <c r="Z38" i="4"/>
  <c r="AI38" i="4"/>
  <c r="Y38" i="4"/>
  <c r="AD38" i="4"/>
  <c r="AO38" i="4"/>
  <c r="AK38" i="4"/>
  <c r="AA38" i="4"/>
  <c r="T38" i="4"/>
  <c r="G41" i="4"/>
  <c r="F42" i="4"/>
  <c r="Q38" i="4" l="1"/>
  <c r="H42" i="4"/>
  <c r="I41" i="4"/>
  <c r="N40" i="4"/>
  <c r="O40" i="4"/>
  <c r="P40" i="4" s="1"/>
  <c r="AI39" i="4"/>
  <c r="AA39" i="4"/>
  <c r="AK39" i="4"/>
  <c r="U39" i="4"/>
  <c r="AF39" i="4"/>
  <c r="Z39" i="4"/>
  <c r="AJ39" i="4"/>
  <c r="AO39" i="4"/>
  <c r="AG39" i="4"/>
  <c r="AH39" i="4"/>
  <c r="Y39" i="4"/>
  <c r="AB39" i="4"/>
  <c r="AN39" i="4"/>
  <c r="AM39" i="4"/>
  <c r="AD39" i="4"/>
  <c r="AC39" i="4"/>
  <c r="AE39" i="4"/>
  <c r="V39" i="4"/>
  <c r="S39" i="4"/>
  <c r="W39" i="4"/>
  <c r="AL39" i="4"/>
  <c r="X39" i="4"/>
  <c r="T39" i="4"/>
  <c r="F43" i="4"/>
  <c r="G42" i="4"/>
  <c r="Q39" i="4" l="1"/>
  <c r="N41" i="4"/>
  <c r="O41" i="4"/>
  <c r="P41" i="4" s="1"/>
  <c r="AF40" i="4"/>
  <c r="AC40" i="4"/>
  <c r="AB40" i="4"/>
  <c r="AM40" i="4"/>
  <c r="AA40" i="4"/>
  <c r="X40" i="4"/>
  <c r="V40" i="4"/>
  <c r="AK40" i="4"/>
  <c r="AO40" i="4"/>
  <c r="AH40" i="4"/>
  <c r="S40" i="4"/>
  <c r="Y40" i="4"/>
  <c r="AN40" i="4"/>
  <c r="U40" i="4"/>
  <c r="W40" i="4"/>
  <c r="AJ40" i="4"/>
  <c r="T40" i="4"/>
  <c r="AG40" i="4"/>
  <c r="AI40" i="4"/>
  <c r="AE40" i="4"/>
  <c r="Z40" i="4"/>
  <c r="AD40" i="4"/>
  <c r="AL40" i="4"/>
  <c r="H43" i="4"/>
  <c r="I42" i="4"/>
  <c r="F44" i="4"/>
  <c r="G43" i="4"/>
  <c r="Z41" i="4" l="1"/>
  <c r="AA41" i="4"/>
  <c r="AL41" i="4"/>
  <c r="Y41" i="4"/>
  <c r="V41" i="4"/>
  <c r="AK41" i="4"/>
  <c r="AJ41" i="4"/>
  <c r="T41" i="4"/>
  <c r="S41" i="4"/>
  <c r="AM41" i="4"/>
  <c r="AD41" i="4"/>
  <c r="AC41" i="4"/>
  <c r="AG41" i="4"/>
  <c r="AE41" i="4"/>
  <c r="AI41" i="4"/>
  <c r="U41" i="4"/>
  <c r="AO41" i="4"/>
  <c r="X41" i="4"/>
  <c r="W41" i="4"/>
  <c r="AB41" i="4"/>
  <c r="AH41" i="4"/>
  <c r="AF41" i="4"/>
  <c r="AN41" i="4"/>
  <c r="H44" i="4"/>
  <c r="I43" i="4"/>
  <c r="Q40" i="4"/>
  <c r="O42" i="4"/>
  <c r="P42" i="4" s="1"/>
  <c r="N42" i="4"/>
  <c r="F45" i="4"/>
  <c r="G44" i="4"/>
  <c r="Q41" i="4" l="1"/>
  <c r="H45" i="4"/>
  <c r="I44" i="4"/>
  <c r="AK42" i="4"/>
  <c r="Z42" i="4"/>
  <c r="AJ42" i="4"/>
  <c r="AE42" i="4"/>
  <c r="V42" i="4"/>
  <c r="U42" i="4"/>
  <c r="AC42" i="4"/>
  <c r="AH42" i="4"/>
  <c r="AG42" i="4"/>
  <c r="T42" i="4"/>
  <c r="AA42" i="4"/>
  <c r="W42" i="4"/>
  <c r="AB42" i="4"/>
  <c r="AM42" i="4"/>
  <c r="AL42" i="4"/>
  <c r="AF42" i="4"/>
  <c r="Y42" i="4"/>
  <c r="AO42" i="4"/>
  <c r="S42" i="4"/>
  <c r="X42" i="4"/>
  <c r="AD42" i="4"/>
  <c r="AN42" i="4"/>
  <c r="AI42" i="4"/>
  <c r="O43" i="4"/>
  <c r="P43" i="4" s="1"/>
  <c r="N43" i="4"/>
  <c r="F46" i="4"/>
  <c r="G45" i="4"/>
  <c r="Q42" i="4" l="1"/>
  <c r="O44" i="4"/>
  <c r="P44" i="4" s="1"/>
  <c r="N44" i="4"/>
  <c r="AJ43" i="4"/>
  <c r="U43" i="4"/>
  <c r="Y43" i="4"/>
  <c r="AI43" i="4"/>
  <c r="AA43" i="4"/>
  <c r="AH43" i="4"/>
  <c r="AO43" i="4"/>
  <c r="AF43" i="4"/>
  <c r="W43" i="4"/>
  <c r="AB43" i="4"/>
  <c r="AD43" i="4"/>
  <c r="V43" i="4"/>
  <c r="X43" i="4"/>
  <c r="AL43" i="4"/>
  <c r="AG43" i="4"/>
  <c r="AN43" i="4"/>
  <c r="Z43" i="4"/>
  <c r="AK43" i="4"/>
  <c r="T43" i="4"/>
  <c r="AM43" i="4"/>
  <c r="AC43" i="4"/>
  <c r="AE43" i="4"/>
  <c r="S43" i="4"/>
  <c r="H46" i="4"/>
  <c r="I45" i="4"/>
  <c r="F47" i="4"/>
  <c r="G46" i="4"/>
  <c r="O45" i="4" l="1"/>
  <c r="P45" i="4" s="1"/>
  <c r="N45" i="4"/>
  <c r="H47" i="4"/>
  <c r="I46" i="4"/>
  <c r="Q43" i="4"/>
  <c r="Y44" i="4"/>
  <c r="T44" i="4"/>
  <c r="AL44" i="4"/>
  <c r="AB44" i="4"/>
  <c r="AJ44" i="4"/>
  <c r="AM44" i="4"/>
  <c r="S44" i="4"/>
  <c r="AD44" i="4"/>
  <c r="U44" i="4"/>
  <c r="W44" i="4"/>
  <c r="AH44" i="4"/>
  <c r="AI44" i="4"/>
  <c r="AA44" i="4"/>
  <c r="AO44" i="4"/>
  <c r="AE44" i="4"/>
  <c r="AC44" i="4"/>
  <c r="AK44" i="4"/>
  <c r="Z44" i="4"/>
  <c r="V44" i="4"/>
  <c r="AG44" i="4"/>
  <c r="AF44" i="4"/>
  <c r="AN44" i="4"/>
  <c r="X44" i="4"/>
  <c r="G47" i="4"/>
  <c r="F48" i="4"/>
  <c r="Q44" i="4" l="1"/>
  <c r="H48" i="4"/>
  <c r="I47" i="4"/>
  <c r="N46" i="4"/>
  <c r="O46" i="4"/>
  <c r="P46" i="4" s="1"/>
  <c r="AE45" i="4"/>
  <c r="AO45" i="4"/>
  <c r="AB45" i="4"/>
  <c r="T45" i="4"/>
  <c r="AH45" i="4"/>
  <c r="AJ45" i="4"/>
  <c r="U45" i="4"/>
  <c r="X45" i="4"/>
  <c r="AL45" i="4"/>
  <c r="AF45" i="4"/>
  <c r="AD45" i="4"/>
  <c r="V45" i="4"/>
  <c r="AI45" i="4"/>
  <c r="AA45" i="4"/>
  <c r="S45" i="4"/>
  <c r="AM45" i="4"/>
  <c r="AG45" i="4"/>
  <c r="AN45" i="4"/>
  <c r="Z45" i="4"/>
  <c r="W45" i="4"/>
  <c r="AK45" i="4"/>
  <c r="Y45" i="4"/>
  <c r="AC45" i="4"/>
  <c r="F49" i="4"/>
  <c r="G48" i="4"/>
  <c r="AB46" i="4" l="1"/>
  <c r="AC46" i="4"/>
  <c r="AE46" i="4"/>
  <c r="S46" i="4"/>
  <c r="X46" i="4"/>
  <c r="AH46" i="4"/>
  <c r="W46" i="4"/>
  <c r="AM46" i="4"/>
  <c r="AF46" i="4"/>
  <c r="U46" i="4"/>
  <c r="V46" i="4"/>
  <c r="Z46" i="4"/>
  <c r="AG46" i="4"/>
  <c r="AO46" i="4"/>
  <c r="AK46" i="4"/>
  <c r="Y46" i="4"/>
  <c r="AN46" i="4"/>
  <c r="T46" i="4"/>
  <c r="AD46" i="4"/>
  <c r="AA46" i="4"/>
  <c r="AL46" i="4"/>
  <c r="AI46" i="4"/>
  <c r="AJ46" i="4"/>
  <c r="N47" i="4"/>
  <c r="O47" i="4"/>
  <c r="P47" i="4" s="1"/>
  <c r="Q45" i="4"/>
  <c r="H49" i="4"/>
  <c r="I48" i="4"/>
  <c r="F50" i="4"/>
  <c r="G49" i="4"/>
  <c r="N48" i="4" l="1"/>
  <c r="O48" i="4"/>
  <c r="P48" i="4" s="1"/>
  <c r="Q46" i="4"/>
  <c r="H50" i="4"/>
  <c r="I49" i="4"/>
  <c r="T47" i="4"/>
  <c r="AN47" i="4"/>
  <c r="V47" i="4"/>
  <c r="AL47" i="4"/>
  <c r="W47" i="4"/>
  <c r="AH47" i="4"/>
  <c r="AA47" i="4"/>
  <c r="S47" i="4"/>
  <c r="AI47" i="4"/>
  <c r="U47" i="4"/>
  <c r="AC47" i="4"/>
  <c r="AG47" i="4"/>
  <c r="AB47" i="4"/>
  <c r="AK47" i="4"/>
  <c r="AD47" i="4"/>
  <c r="AF47" i="4"/>
  <c r="Z47" i="4"/>
  <c r="Y47" i="4"/>
  <c r="AM47" i="4"/>
  <c r="AJ47" i="4"/>
  <c r="AE47" i="4"/>
  <c r="AO47" i="4"/>
  <c r="X47" i="4"/>
  <c r="G50" i="4"/>
  <c r="F51" i="4"/>
  <c r="H51" i="4" l="1"/>
  <c r="I50" i="4"/>
  <c r="O49" i="4"/>
  <c r="P49" i="4" s="1"/>
  <c r="N49" i="4"/>
  <c r="U48" i="4"/>
  <c r="AG48" i="4"/>
  <c r="AH48" i="4"/>
  <c r="AN48" i="4"/>
  <c r="AO48" i="4"/>
  <c r="Y48" i="4"/>
  <c r="W48" i="4"/>
  <c r="T48" i="4"/>
  <c r="Z48" i="4"/>
  <c r="AB48" i="4"/>
  <c r="AM48" i="4"/>
  <c r="AL48" i="4"/>
  <c r="AC48" i="4"/>
  <c r="V48" i="4"/>
  <c r="AK48" i="4"/>
  <c r="S48" i="4"/>
  <c r="AA48" i="4"/>
  <c r="AE48" i="4"/>
  <c r="AI48" i="4"/>
  <c r="X48" i="4"/>
  <c r="AD48" i="4"/>
  <c r="AJ48" i="4"/>
  <c r="AF48" i="4"/>
  <c r="Q47" i="4"/>
  <c r="G51" i="4"/>
  <c r="F52" i="4"/>
  <c r="Q48" i="4" l="1"/>
  <c r="AE49" i="4"/>
  <c r="AN49" i="4"/>
  <c r="AA49" i="4"/>
  <c r="V49" i="4"/>
  <c r="AH49" i="4"/>
  <c r="AO49" i="4"/>
  <c r="AJ49" i="4"/>
  <c r="AK49" i="4"/>
  <c r="AC49" i="4"/>
  <c r="AD49" i="4"/>
  <c r="AM49" i="4"/>
  <c r="Y49" i="4"/>
  <c r="AI49" i="4"/>
  <c r="S49" i="4"/>
  <c r="X49" i="4"/>
  <c r="U49" i="4"/>
  <c r="AB49" i="4"/>
  <c r="W49" i="4"/>
  <c r="AG49" i="4"/>
  <c r="Z49" i="4"/>
  <c r="AF49" i="4"/>
  <c r="T49" i="4"/>
  <c r="AL49" i="4"/>
  <c r="N50" i="4"/>
  <c r="O50" i="4"/>
  <c r="P50" i="4" s="1"/>
  <c r="H52" i="4"/>
  <c r="I51" i="4"/>
  <c r="G52" i="4"/>
  <c r="F53" i="4"/>
  <c r="H53" i="4" l="1"/>
  <c r="I52" i="4"/>
  <c r="AG50" i="4"/>
  <c r="U50" i="4"/>
  <c r="AI50" i="4"/>
  <c r="S50" i="4"/>
  <c r="W50" i="4"/>
  <c r="AE50" i="4"/>
  <c r="X50" i="4"/>
  <c r="AK50" i="4"/>
  <c r="AO50" i="4"/>
  <c r="AA50" i="4"/>
  <c r="V50" i="4"/>
  <c r="AN50" i="4"/>
  <c r="AC50" i="4"/>
  <c r="AJ50" i="4"/>
  <c r="AF50" i="4"/>
  <c r="AL50" i="4"/>
  <c r="Y50" i="4"/>
  <c r="AM50" i="4"/>
  <c r="Z50" i="4"/>
  <c r="T50" i="4"/>
  <c r="AD50" i="4"/>
  <c r="AB50" i="4"/>
  <c r="AH50" i="4"/>
  <c r="N51" i="4"/>
  <c r="O51" i="4"/>
  <c r="P51" i="4" s="1"/>
  <c r="Q49" i="4"/>
  <c r="G53" i="4"/>
  <c r="F54" i="4"/>
  <c r="Q50" i="4" l="1"/>
  <c r="AF51" i="4"/>
  <c r="AJ51" i="4"/>
  <c r="AL51" i="4"/>
  <c r="V51" i="4"/>
  <c r="AI51" i="4"/>
  <c r="AE51" i="4"/>
  <c r="AK51" i="4"/>
  <c r="T51" i="4"/>
  <c r="Y51" i="4"/>
  <c r="AB51" i="4"/>
  <c r="AG51" i="4"/>
  <c r="AC51" i="4"/>
  <c r="S51" i="4"/>
  <c r="AH51" i="4"/>
  <c r="AN51" i="4"/>
  <c r="W51" i="4"/>
  <c r="X51" i="4"/>
  <c r="AM51" i="4"/>
  <c r="AO51" i="4"/>
  <c r="U51" i="4"/>
  <c r="AA51" i="4"/>
  <c r="Z51" i="4"/>
  <c r="AD51" i="4"/>
  <c r="N52" i="4"/>
  <c r="O52" i="4"/>
  <c r="P52" i="4" s="1"/>
  <c r="H54" i="4"/>
  <c r="I53" i="4"/>
  <c r="F55" i="4"/>
  <c r="G54" i="4"/>
  <c r="H55" i="4" l="1"/>
  <c r="I54" i="4"/>
  <c r="T52" i="4"/>
  <c r="AM52" i="4"/>
  <c r="AI52" i="4"/>
  <c r="Z52" i="4"/>
  <c r="U52" i="4"/>
  <c r="V52" i="4"/>
  <c r="AJ52" i="4"/>
  <c r="W52" i="4"/>
  <c r="AK52" i="4"/>
  <c r="AD52" i="4"/>
  <c r="AH52" i="4"/>
  <c r="AL52" i="4"/>
  <c r="Y52" i="4"/>
  <c r="AA52" i="4"/>
  <c r="AC52" i="4"/>
  <c r="S52" i="4"/>
  <c r="X52" i="4"/>
  <c r="AG52" i="4"/>
  <c r="AN52" i="4"/>
  <c r="AB52" i="4"/>
  <c r="AF52" i="4"/>
  <c r="AE52" i="4"/>
  <c r="AO52" i="4"/>
  <c r="Q51" i="4"/>
  <c r="O53" i="4"/>
  <c r="P53" i="4" s="1"/>
  <c r="N53" i="4"/>
  <c r="F56" i="4"/>
  <c r="G55" i="4"/>
  <c r="Q52" i="4" l="1"/>
  <c r="O54" i="4"/>
  <c r="P54" i="4" s="1"/>
  <c r="N54" i="4"/>
  <c r="AI53" i="4"/>
  <c r="AF53" i="4"/>
  <c r="U53" i="4"/>
  <c r="AE53" i="4"/>
  <c r="AN53" i="4"/>
  <c r="X53" i="4"/>
  <c r="AB53" i="4"/>
  <c r="V53" i="4"/>
  <c r="T53" i="4"/>
  <c r="AK53" i="4"/>
  <c r="AA53" i="4"/>
  <c r="AG53" i="4"/>
  <c r="S53" i="4"/>
  <c r="Z53" i="4"/>
  <c r="AC53" i="4"/>
  <c r="AO53" i="4"/>
  <c r="W53" i="4"/>
  <c r="AH53" i="4"/>
  <c r="AM53" i="4"/>
  <c r="Y53" i="4"/>
  <c r="AD53" i="4"/>
  <c r="AJ53" i="4"/>
  <c r="AL53" i="4"/>
  <c r="H56" i="4"/>
  <c r="I55" i="4"/>
  <c r="F57" i="4"/>
  <c r="G56" i="4"/>
  <c r="O55" i="4" l="1"/>
  <c r="P55" i="4" s="1"/>
  <c r="N55" i="4"/>
  <c r="Q53" i="4"/>
  <c r="AO54" i="4"/>
  <c r="AI54" i="4"/>
  <c r="W54" i="4"/>
  <c r="AD54" i="4"/>
  <c r="AJ54" i="4"/>
  <c r="AF54" i="4"/>
  <c r="AB54" i="4"/>
  <c r="X54" i="4"/>
  <c r="AE54" i="4"/>
  <c r="V54" i="4"/>
  <c r="AA54" i="4"/>
  <c r="Y54" i="4"/>
  <c r="AL54" i="4"/>
  <c r="S54" i="4"/>
  <c r="Z54" i="4"/>
  <c r="AH54" i="4"/>
  <c r="U54" i="4"/>
  <c r="AG54" i="4"/>
  <c r="AM54" i="4"/>
  <c r="AN54" i="4"/>
  <c r="AK54" i="4"/>
  <c r="AC54" i="4"/>
  <c r="T54" i="4"/>
  <c r="H57" i="4"/>
  <c r="I56" i="4"/>
  <c r="F58" i="4"/>
  <c r="G57" i="4"/>
  <c r="O56" i="4" l="1"/>
  <c r="P56" i="4" s="1"/>
  <c r="N56" i="4"/>
  <c r="Q54" i="4"/>
  <c r="H58" i="4"/>
  <c r="I57" i="4"/>
  <c r="Y55" i="4"/>
  <c r="AN55" i="4"/>
  <c r="Z55" i="4"/>
  <c r="AE55" i="4"/>
  <c r="AC55" i="4"/>
  <c r="AO55" i="4"/>
  <c r="AH55" i="4"/>
  <c r="AG55" i="4"/>
  <c r="AM55" i="4"/>
  <c r="W55" i="4"/>
  <c r="AK55" i="4"/>
  <c r="V55" i="4"/>
  <c r="T55" i="4"/>
  <c r="AF55" i="4"/>
  <c r="AB55" i="4"/>
  <c r="AI55" i="4"/>
  <c r="AA55" i="4"/>
  <c r="AD55" i="4"/>
  <c r="X55" i="4"/>
  <c r="AL55" i="4"/>
  <c r="U55" i="4"/>
  <c r="AJ55" i="4"/>
  <c r="S55" i="4"/>
  <c r="F59" i="4"/>
  <c r="G58" i="4"/>
  <c r="N57" i="4" l="1"/>
  <c r="O57" i="4"/>
  <c r="P57" i="4" s="1"/>
  <c r="H59" i="4"/>
  <c r="I58" i="4"/>
  <c r="Q55" i="4"/>
  <c r="AC56" i="4"/>
  <c r="S56" i="4"/>
  <c r="AB56" i="4"/>
  <c r="Y56" i="4"/>
  <c r="AO56" i="4"/>
  <c r="AK56" i="4"/>
  <c r="AI56" i="4"/>
  <c r="AF56" i="4"/>
  <c r="AJ56" i="4"/>
  <c r="AN56" i="4"/>
  <c r="AG56" i="4"/>
  <c r="Z56" i="4"/>
  <c r="X56" i="4"/>
  <c r="AL56" i="4"/>
  <c r="AM56" i="4"/>
  <c r="U56" i="4"/>
  <c r="V56" i="4"/>
  <c r="T56" i="4"/>
  <c r="AA56" i="4"/>
  <c r="AD56" i="4"/>
  <c r="AH56" i="4"/>
  <c r="AE56" i="4"/>
  <c r="W56" i="4"/>
  <c r="G59" i="4"/>
  <c r="F60" i="4"/>
  <c r="Q56" i="4" l="1"/>
  <c r="H60" i="4"/>
  <c r="I59" i="4"/>
  <c r="S57" i="4"/>
  <c r="AK57" i="4"/>
  <c r="AJ57" i="4"/>
  <c r="V57" i="4"/>
  <c r="U57" i="4"/>
  <c r="AG57" i="4"/>
  <c r="AO57" i="4"/>
  <c r="AM57" i="4"/>
  <c r="T57" i="4"/>
  <c r="Z57" i="4"/>
  <c r="AE57" i="4"/>
  <c r="AF57" i="4"/>
  <c r="AB57" i="4"/>
  <c r="Y57" i="4"/>
  <c r="AA57" i="4"/>
  <c r="AH57" i="4"/>
  <c r="X57" i="4"/>
  <c r="AI57" i="4"/>
  <c r="AD57" i="4"/>
  <c r="AC57" i="4"/>
  <c r="AL57" i="4"/>
  <c r="W57" i="4"/>
  <c r="AN57" i="4"/>
  <c r="N58" i="4"/>
  <c r="O58" i="4"/>
  <c r="P58" i="4" s="1"/>
  <c r="F61" i="4"/>
  <c r="G60" i="4"/>
  <c r="AC58" i="4" l="1"/>
  <c r="Y58" i="4"/>
  <c r="W58" i="4"/>
  <c r="X58" i="4"/>
  <c r="U58" i="4"/>
  <c r="AH58" i="4"/>
  <c r="AA58" i="4"/>
  <c r="AE58" i="4"/>
  <c r="V58" i="4"/>
  <c r="AB58" i="4"/>
  <c r="AG58" i="4"/>
  <c r="S58" i="4"/>
  <c r="AD58" i="4"/>
  <c r="AO58" i="4"/>
  <c r="AM58" i="4"/>
  <c r="T58" i="4"/>
  <c r="AK58" i="4"/>
  <c r="AJ58" i="4"/>
  <c r="AF58" i="4"/>
  <c r="AL58" i="4"/>
  <c r="AI58" i="4"/>
  <c r="AN58" i="4"/>
  <c r="Z58" i="4"/>
  <c r="N59" i="4"/>
  <c r="O59" i="4"/>
  <c r="P59" i="4" s="1"/>
  <c r="Q57" i="4"/>
  <c r="H61" i="4"/>
  <c r="I60" i="4"/>
  <c r="F62" i="4"/>
  <c r="G61" i="4"/>
  <c r="Q58" i="4" l="1"/>
  <c r="O60" i="4"/>
  <c r="P60" i="4" s="1"/>
  <c r="N60" i="4"/>
  <c r="H62" i="4"/>
  <c r="I61" i="4"/>
  <c r="T59" i="4"/>
  <c r="AB59" i="4"/>
  <c r="AH59" i="4"/>
  <c r="AG59" i="4"/>
  <c r="S59" i="4"/>
  <c r="AK59" i="4"/>
  <c r="AO59" i="4"/>
  <c r="AC59" i="4"/>
  <c r="U59" i="4"/>
  <c r="AF59" i="4"/>
  <c r="W59" i="4"/>
  <c r="AM59" i="4"/>
  <c r="AE59" i="4"/>
  <c r="AL59" i="4"/>
  <c r="V59" i="4"/>
  <c r="Y59" i="4"/>
  <c r="Z59" i="4"/>
  <c r="AJ59" i="4"/>
  <c r="X59" i="4"/>
  <c r="AN59" i="4"/>
  <c r="AA59" i="4"/>
  <c r="AD59" i="4"/>
  <c r="AI59" i="4"/>
  <c r="G62" i="4"/>
  <c r="F63" i="4"/>
  <c r="H63" i="4" l="1"/>
  <c r="I62" i="4"/>
  <c r="Q59" i="4"/>
  <c r="N61" i="4"/>
  <c r="O61" i="4"/>
  <c r="P61" i="4" s="1"/>
  <c r="AJ60" i="4"/>
  <c r="S60" i="4"/>
  <c r="AH60" i="4"/>
  <c r="Z60" i="4"/>
  <c r="AK60" i="4"/>
  <c r="AA60" i="4"/>
  <c r="X60" i="4"/>
  <c r="AI60" i="4"/>
  <c r="AN60" i="4"/>
  <c r="Y60" i="4"/>
  <c r="AM60" i="4"/>
  <c r="AF60" i="4"/>
  <c r="AC60" i="4"/>
  <c r="AB60" i="4"/>
  <c r="AE60" i="4"/>
  <c r="AO60" i="4"/>
  <c r="AD60" i="4"/>
  <c r="W60" i="4"/>
  <c r="T60" i="4"/>
  <c r="U60" i="4"/>
  <c r="AL60" i="4"/>
  <c r="V60" i="4"/>
  <c r="AG60" i="4"/>
  <c r="G63" i="4"/>
  <c r="F64" i="4"/>
  <c r="N62" i="4" l="1"/>
  <c r="O62" i="4"/>
  <c r="P62" i="4" s="1"/>
  <c r="Q60" i="4"/>
  <c r="AB61" i="4"/>
  <c r="AC61" i="4"/>
  <c r="AI61" i="4"/>
  <c r="AA61" i="4"/>
  <c r="AJ61" i="4"/>
  <c r="Z61" i="4"/>
  <c r="AD61" i="4"/>
  <c r="T61" i="4"/>
  <c r="AF61" i="4"/>
  <c r="AO61" i="4"/>
  <c r="AK61" i="4"/>
  <c r="AN61" i="4"/>
  <c r="V61" i="4"/>
  <c r="X61" i="4"/>
  <c r="Y61" i="4"/>
  <c r="AH61" i="4"/>
  <c r="AG61" i="4"/>
  <c r="S61" i="4"/>
  <c r="AE61" i="4"/>
  <c r="AL61" i="4"/>
  <c r="U61" i="4"/>
  <c r="AM61" i="4"/>
  <c r="W61" i="4"/>
  <c r="H64" i="4"/>
  <c r="I63" i="4"/>
  <c r="G64" i="4"/>
  <c r="F65" i="4"/>
  <c r="Q61" i="4" l="1"/>
  <c r="AH62" i="4"/>
  <c r="T62" i="4"/>
  <c r="V62" i="4"/>
  <c r="AF62" i="4"/>
  <c r="U62" i="4"/>
  <c r="AB62" i="4"/>
  <c r="AG62" i="4"/>
  <c r="AJ62" i="4"/>
  <c r="AN62" i="4"/>
  <c r="AI62" i="4"/>
  <c r="AK62" i="4"/>
  <c r="AM62" i="4"/>
  <c r="W62" i="4"/>
  <c r="AL62" i="4"/>
  <c r="Y62" i="4"/>
  <c r="AO62" i="4"/>
  <c r="AA62" i="4"/>
  <c r="AC62" i="4"/>
  <c r="X62" i="4"/>
  <c r="S62" i="4"/>
  <c r="AD62" i="4"/>
  <c r="AE62" i="4"/>
  <c r="Z62" i="4"/>
  <c r="O63" i="4"/>
  <c r="P63" i="4" s="1"/>
  <c r="N63" i="4"/>
  <c r="H65" i="4"/>
  <c r="I64" i="4"/>
  <c r="G65" i="4"/>
  <c r="F66" i="4"/>
  <c r="H66" i="4" l="1"/>
  <c r="I65" i="4"/>
  <c r="Q62" i="4"/>
  <c r="O64" i="4"/>
  <c r="P64" i="4" s="1"/>
  <c r="N64" i="4"/>
  <c r="AK63" i="4"/>
  <c r="Y63" i="4"/>
  <c r="Z63" i="4"/>
  <c r="AA63" i="4"/>
  <c r="AB63" i="4"/>
  <c r="AE63" i="4"/>
  <c r="AL63" i="4"/>
  <c r="S63" i="4"/>
  <c r="AC63" i="4"/>
  <c r="V63" i="4"/>
  <c r="AD63" i="4"/>
  <c r="T63" i="4"/>
  <c r="AI63" i="4"/>
  <c r="AN63" i="4"/>
  <c r="AF63" i="4"/>
  <c r="W63" i="4"/>
  <c r="X63" i="4"/>
  <c r="AJ63" i="4"/>
  <c r="AH63" i="4"/>
  <c r="AG63" i="4"/>
  <c r="U63" i="4"/>
  <c r="AM63" i="4"/>
  <c r="AO63" i="4"/>
  <c r="F67" i="4"/>
  <c r="G66" i="4"/>
  <c r="O65" i="4" l="1"/>
  <c r="P65" i="4" s="1"/>
  <c r="N65" i="4"/>
  <c r="V64" i="4"/>
  <c r="W64" i="4"/>
  <c r="AD64" i="4"/>
  <c r="AM64" i="4"/>
  <c r="AL64" i="4"/>
  <c r="AJ64" i="4"/>
  <c r="AE64" i="4"/>
  <c r="AO64" i="4"/>
  <c r="AN64" i="4"/>
  <c r="Y64" i="4"/>
  <c r="X64" i="4"/>
  <c r="AA64" i="4"/>
  <c r="AF64" i="4"/>
  <c r="AG64" i="4"/>
  <c r="Z64" i="4"/>
  <c r="U64" i="4"/>
  <c r="AC64" i="4"/>
  <c r="T64" i="4"/>
  <c r="AH64" i="4"/>
  <c r="AK64" i="4"/>
  <c r="S64" i="4"/>
  <c r="AB64" i="4"/>
  <c r="AI64" i="4"/>
  <c r="Q63" i="4"/>
  <c r="H67" i="4"/>
  <c r="I66" i="4"/>
  <c r="F68" i="4"/>
  <c r="G67" i="4"/>
  <c r="Q64" i="4" l="1"/>
  <c r="N66" i="4"/>
  <c r="O66" i="4"/>
  <c r="P66" i="4" s="1"/>
  <c r="H68" i="4"/>
  <c r="I67" i="4"/>
  <c r="AK65" i="4"/>
  <c r="W65" i="4"/>
  <c r="AJ65" i="4"/>
  <c r="AH65" i="4"/>
  <c r="AL65" i="4"/>
  <c r="Y65" i="4"/>
  <c r="AA65" i="4"/>
  <c r="V65" i="4"/>
  <c r="AN65" i="4"/>
  <c r="AG65" i="4"/>
  <c r="U65" i="4"/>
  <c r="AB65" i="4"/>
  <c r="AC65" i="4"/>
  <c r="AD65" i="4"/>
  <c r="S65" i="4"/>
  <c r="AO65" i="4"/>
  <c r="AI65" i="4"/>
  <c r="AE65" i="4"/>
  <c r="T65" i="4"/>
  <c r="X65" i="4"/>
  <c r="AF65" i="4"/>
  <c r="AM65" i="4"/>
  <c r="Z65" i="4"/>
  <c r="F69" i="4"/>
  <c r="G68" i="4"/>
  <c r="Q65" i="4" l="1"/>
  <c r="X66" i="4"/>
  <c r="AK66" i="4"/>
  <c r="AI66" i="4"/>
  <c r="AG66" i="4"/>
  <c r="AD66" i="4"/>
  <c r="S66" i="4"/>
  <c r="AA66" i="4"/>
  <c r="AE66" i="4"/>
  <c r="AN66" i="4"/>
  <c r="AO66" i="4"/>
  <c r="Y66" i="4"/>
  <c r="T66" i="4"/>
  <c r="AB66" i="4"/>
  <c r="AM66" i="4"/>
  <c r="AL66" i="4"/>
  <c r="AH66" i="4"/>
  <c r="AF66" i="4"/>
  <c r="AC66" i="4"/>
  <c r="U66" i="4"/>
  <c r="Z66" i="4"/>
  <c r="W66" i="4"/>
  <c r="AJ66" i="4"/>
  <c r="V66" i="4"/>
  <c r="O67" i="4"/>
  <c r="P67" i="4" s="1"/>
  <c r="N67" i="4"/>
  <c r="H69" i="4"/>
  <c r="I68" i="4"/>
  <c r="G69" i="4"/>
  <c r="F70" i="4"/>
  <c r="Q66" i="4" l="1"/>
  <c r="O68" i="4"/>
  <c r="P68" i="4" s="1"/>
  <c r="N68" i="4"/>
  <c r="H70" i="4"/>
  <c r="I69" i="4"/>
  <c r="AI67" i="4"/>
  <c r="AH67" i="4"/>
  <c r="W67" i="4"/>
  <c r="T67" i="4"/>
  <c r="AK67" i="4"/>
  <c r="AO67" i="4"/>
  <c r="AB67" i="4"/>
  <c r="AN67" i="4"/>
  <c r="AD67" i="4"/>
  <c r="V67" i="4"/>
  <c r="AF67" i="4"/>
  <c r="AE67" i="4"/>
  <c r="AG67" i="4"/>
  <c r="AL67" i="4"/>
  <c r="AJ67" i="4"/>
  <c r="Y67" i="4"/>
  <c r="AC67" i="4"/>
  <c r="X67" i="4"/>
  <c r="AM67" i="4"/>
  <c r="Z67" i="4"/>
  <c r="AA67" i="4"/>
  <c r="S67" i="4"/>
  <c r="U67" i="4"/>
  <c r="F71" i="4"/>
  <c r="G70" i="4"/>
  <c r="H71" i="4" l="1"/>
  <c r="I70" i="4"/>
  <c r="O69" i="4"/>
  <c r="P69" i="4" s="1"/>
  <c r="N69" i="4"/>
  <c r="Q67" i="4"/>
  <c r="AB68" i="4"/>
  <c r="Y68" i="4"/>
  <c r="AM68" i="4"/>
  <c r="AD68" i="4"/>
  <c r="AF68" i="4"/>
  <c r="AK68" i="4"/>
  <c r="V68" i="4"/>
  <c r="U68" i="4"/>
  <c r="AE68" i="4"/>
  <c r="AC68" i="4"/>
  <c r="AA68" i="4"/>
  <c r="S68" i="4"/>
  <c r="AJ68" i="4"/>
  <c r="AO68" i="4"/>
  <c r="Z68" i="4"/>
  <c r="W68" i="4"/>
  <c r="T68" i="4"/>
  <c r="X68" i="4"/>
  <c r="AN68" i="4"/>
  <c r="AI68" i="4"/>
  <c r="AG68" i="4"/>
  <c r="AH68" i="4"/>
  <c r="AL68" i="4"/>
  <c r="G71" i="4"/>
  <c r="F72" i="4"/>
  <c r="Q68" i="4" l="1"/>
  <c r="N70" i="4"/>
  <c r="O70" i="4"/>
  <c r="P70" i="4" s="1"/>
  <c r="Z69" i="4"/>
  <c r="T69" i="4"/>
  <c r="Y69" i="4"/>
  <c r="U69" i="4"/>
  <c r="AJ69" i="4"/>
  <c r="W69" i="4"/>
  <c r="AL69" i="4"/>
  <c r="AG69" i="4"/>
  <c r="V69" i="4"/>
  <c r="AA69" i="4"/>
  <c r="AB69" i="4"/>
  <c r="AE69" i="4"/>
  <c r="S69" i="4"/>
  <c r="AF69" i="4"/>
  <c r="AD69" i="4"/>
  <c r="AK69" i="4"/>
  <c r="AN69" i="4"/>
  <c r="AM69" i="4"/>
  <c r="AC69" i="4"/>
  <c r="AH69" i="4"/>
  <c r="X69" i="4"/>
  <c r="AO69" i="4"/>
  <c r="AI69" i="4"/>
  <c r="H72" i="4"/>
  <c r="I71" i="4"/>
  <c r="F73" i="4"/>
  <c r="G72" i="4"/>
  <c r="Q69" i="4" l="1"/>
  <c r="AK70" i="4"/>
  <c r="AB70" i="4"/>
  <c r="AC70" i="4"/>
  <c r="T70" i="4"/>
  <c r="AA70" i="4"/>
  <c r="Y70" i="4"/>
  <c r="V70" i="4"/>
  <c r="AE70" i="4"/>
  <c r="AN70" i="4"/>
  <c r="AJ70" i="4"/>
  <c r="U70" i="4"/>
  <c r="AD70" i="4"/>
  <c r="AF70" i="4"/>
  <c r="W70" i="4"/>
  <c r="S70" i="4"/>
  <c r="AG70" i="4"/>
  <c r="AO70" i="4"/>
  <c r="Z70" i="4"/>
  <c r="AM70" i="4"/>
  <c r="X70" i="4"/>
  <c r="AL70" i="4"/>
  <c r="AH70" i="4"/>
  <c r="AI70" i="4"/>
  <c r="H73" i="4"/>
  <c r="I72" i="4"/>
  <c r="N71" i="4"/>
  <c r="O71" i="4"/>
  <c r="P71" i="4" s="1"/>
  <c r="F74" i="4"/>
  <c r="G73" i="4"/>
  <c r="AL71" i="4" l="1"/>
  <c r="AH71" i="4"/>
  <c r="AJ71" i="4"/>
  <c r="AE71" i="4"/>
  <c r="AG71" i="4"/>
  <c r="AM71" i="4"/>
  <c r="T71" i="4"/>
  <c r="AB71" i="4"/>
  <c r="W71" i="4"/>
  <c r="AD71" i="4"/>
  <c r="X71" i="4"/>
  <c r="AF71" i="4"/>
  <c r="AC71" i="4"/>
  <c r="AO71" i="4"/>
  <c r="Y71" i="4"/>
  <c r="AK71" i="4"/>
  <c r="S71" i="4"/>
  <c r="U71" i="4"/>
  <c r="V71" i="4"/>
  <c r="AA71" i="4"/>
  <c r="AI71" i="4"/>
  <c r="AN71" i="4"/>
  <c r="Z71" i="4"/>
  <c r="Q70" i="4"/>
  <c r="N72" i="4"/>
  <c r="O72" i="4"/>
  <c r="P72" i="4" s="1"/>
  <c r="H74" i="4"/>
  <c r="I73" i="4"/>
  <c r="G74" i="4"/>
  <c r="F75" i="4"/>
  <c r="H75" i="4" l="1"/>
  <c r="I74" i="4"/>
  <c r="Q71" i="4"/>
  <c r="N73" i="4"/>
  <c r="O73" i="4"/>
  <c r="P73" i="4" s="1"/>
  <c r="Y72" i="4"/>
  <c r="T72" i="4"/>
  <c r="U72" i="4"/>
  <c r="AC72" i="4"/>
  <c r="AJ72" i="4"/>
  <c r="AF72" i="4"/>
  <c r="AM72" i="4"/>
  <c r="X72" i="4"/>
  <c r="V72" i="4"/>
  <c r="AK72" i="4"/>
  <c r="AG72" i="4"/>
  <c r="AN72" i="4"/>
  <c r="AB72" i="4"/>
  <c r="S72" i="4"/>
  <c r="AA72" i="4"/>
  <c r="Z72" i="4"/>
  <c r="AO72" i="4"/>
  <c r="AI72" i="4"/>
  <c r="W72" i="4"/>
  <c r="AD72" i="4"/>
  <c r="AH72" i="4"/>
  <c r="AL72" i="4"/>
  <c r="AE72" i="4"/>
  <c r="G75" i="4"/>
  <c r="F76" i="4"/>
  <c r="AL73" i="4" l="1"/>
  <c r="AK73" i="4"/>
  <c r="AN73" i="4"/>
  <c r="S73" i="4"/>
  <c r="W73" i="4"/>
  <c r="U73" i="4"/>
  <c r="V73" i="4"/>
  <c r="AH73" i="4"/>
  <c r="AG73" i="4"/>
  <c r="AM73" i="4"/>
  <c r="AD73" i="4"/>
  <c r="AF73" i="4"/>
  <c r="AA73" i="4"/>
  <c r="AI73" i="4"/>
  <c r="T73" i="4"/>
  <c r="AJ73" i="4"/>
  <c r="Z73" i="4"/>
  <c r="Y73" i="4"/>
  <c r="X73" i="4"/>
  <c r="AO73" i="4"/>
  <c r="AB73" i="4"/>
  <c r="AC73" i="4"/>
  <c r="AE73" i="4"/>
  <c r="N74" i="4"/>
  <c r="O74" i="4"/>
  <c r="P74" i="4" s="1"/>
  <c r="Q72" i="4"/>
  <c r="H76" i="4"/>
  <c r="I75" i="4"/>
  <c r="G76" i="4"/>
  <c r="F77" i="4"/>
  <c r="O75" i="4" l="1"/>
  <c r="P75" i="4" s="1"/>
  <c r="N75" i="4"/>
  <c r="H77" i="4"/>
  <c r="I76" i="4"/>
  <c r="Q73" i="4"/>
  <c r="AM74" i="4"/>
  <c r="AI74" i="4"/>
  <c r="AA74" i="4"/>
  <c r="W74" i="4"/>
  <c r="AG74" i="4"/>
  <c r="Y74" i="4"/>
  <c r="AH74" i="4"/>
  <c r="AN74" i="4"/>
  <c r="AK74" i="4"/>
  <c r="AO74" i="4"/>
  <c r="AL74" i="4"/>
  <c r="U74" i="4"/>
  <c r="X74" i="4"/>
  <c r="S74" i="4"/>
  <c r="AE74" i="4"/>
  <c r="V74" i="4"/>
  <c r="AC74" i="4"/>
  <c r="AB74" i="4"/>
  <c r="T74" i="4"/>
  <c r="AF74" i="4"/>
  <c r="AD74" i="4"/>
  <c r="AJ74" i="4"/>
  <c r="Z74" i="4"/>
  <c r="G77" i="4"/>
  <c r="F78" i="4"/>
  <c r="Q74" i="4" l="1"/>
  <c r="N76" i="4"/>
  <c r="O76" i="4"/>
  <c r="P76" i="4" s="1"/>
  <c r="H78" i="4"/>
  <c r="I77" i="4"/>
  <c r="AH75" i="4"/>
  <c r="AC75" i="4"/>
  <c r="W75" i="4"/>
  <c r="AL75" i="4"/>
  <c r="AB75" i="4"/>
  <c r="AA75" i="4"/>
  <c r="U75" i="4"/>
  <c r="V75" i="4"/>
  <c r="Z75" i="4"/>
  <c r="AJ75" i="4"/>
  <c r="AF75" i="4"/>
  <c r="AN75" i="4"/>
  <c r="X75" i="4"/>
  <c r="S75" i="4"/>
  <c r="AO75" i="4"/>
  <c r="AD75" i="4"/>
  <c r="AG75" i="4"/>
  <c r="AE75" i="4"/>
  <c r="Y75" i="4"/>
  <c r="AM75" i="4"/>
  <c r="AK75" i="4"/>
  <c r="T75" i="4"/>
  <c r="AI75" i="4"/>
  <c r="F79" i="4"/>
  <c r="G78" i="4"/>
  <c r="AD76" i="4" l="1"/>
  <c r="AO76" i="4"/>
  <c r="AJ76" i="4"/>
  <c r="AH76" i="4"/>
  <c r="X76" i="4"/>
  <c r="AK76" i="4"/>
  <c r="AE76" i="4"/>
  <c r="W76" i="4"/>
  <c r="Z76" i="4"/>
  <c r="Y76" i="4"/>
  <c r="AC76" i="4"/>
  <c r="V76" i="4"/>
  <c r="AM76" i="4"/>
  <c r="S76" i="4"/>
  <c r="AB76" i="4"/>
  <c r="AF76" i="4"/>
  <c r="T76" i="4"/>
  <c r="AL76" i="4"/>
  <c r="AI76" i="4"/>
  <c r="AA76" i="4"/>
  <c r="U76" i="4"/>
  <c r="AG76" i="4"/>
  <c r="AN76" i="4"/>
  <c r="N77" i="4"/>
  <c r="O77" i="4"/>
  <c r="P77" i="4" s="1"/>
  <c r="H79" i="4"/>
  <c r="I78" i="4"/>
  <c r="Q75" i="4"/>
  <c r="F80" i="4"/>
  <c r="G79" i="4"/>
  <c r="Q76" i="4" l="1"/>
  <c r="O78" i="4"/>
  <c r="P78" i="4" s="1"/>
  <c r="N78" i="4"/>
  <c r="H80" i="4"/>
  <c r="I79" i="4"/>
  <c r="AB77" i="4"/>
  <c r="S77" i="4"/>
  <c r="T77" i="4"/>
  <c r="AI77" i="4"/>
  <c r="W77" i="4"/>
  <c r="X77" i="4"/>
  <c r="AH77" i="4"/>
  <c r="AE77" i="4"/>
  <c r="AN77" i="4"/>
  <c r="AO77" i="4"/>
  <c r="U77" i="4"/>
  <c r="AM77" i="4"/>
  <c r="AJ77" i="4"/>
  <c r="Y77" i="4"/>
  <c r="Z77" i="4"/>
  <c r="AL77" i="4"/>
  <c r="AC77" i="4"/>
  <c r="AA77" i="4"/>
  <c r="V77" i="4"/>
  <c r="AK77" i="4"/>
  <c r="AD77" i="4"/>
  <c r="AG77" i="4"/>
  <c r="AF77" i="4"/>
  <c r="F81" i="4"/>
  <c r="G80" i="4"/>
  <c r="H81" i="4" l="1"/>
  <c r="I80" i="4"/>
  <c r="Q77" i="4"/>
  <c r="AH78" i="4"/>
  <c r="AM78" i="4"/>
  <c r="AF78" i="4"/>
  <c r="AA78" i="4"/>
  <c r="U78" i="4"/>
  <c r="AJ78" i="4"/>
  <c r="AO78" i="4"/>
  <c r="Y78" i="4"/>
  <c r="AK78" i="4"/>
  <c r="Z78" i="4"/>
  <c r="V78" i="4"/>
  <c r="AN78" i="4"/>
  <c r="X78" i="4"/>
  <c r="AC78" i="4"/>
  <c r="W78" i="4"/>
  <c r="T78" i="4"/>
  <c r="AI78" i="4"/>
  <c r="AD78" i="4"/>
  <c r="AG78" i="4"/>
  <c r="AL78" i="4"/>
  <c r="AB78" i="4"/>
  <c r="S78" i="4"/>
  <c r="AE78" i="4"/>
  <c r="N79" i="4"/>
  <c r="O79" i="4"/>
  <c r="P79" i="4" s="1"/>
  <c r="F82" i="4"/>
  <c r="G81" i="4"/>
  <c r="V79" i="4" l="1"/>
  <c r="S79" i="4"/>
  <c r="X79" i="4"/>
  <c r="AB79" i="4"/>
  <c r="AN79" i="4"/>
  <c r="AE79" i="4"/>
  <c r="AF79" i="4"/>
  <c r="AM79" i="4"/>
  <c r="AJ79" i="4"/>
  <c r="AH79" i="4"/>
  <c r="Z79" i="4"/>
  <c r="AA79" i="4"/>
  <c r="AK79" i="4"/>
  <c r="AO79" i="4"/>
  <c r="AG79" i="4"/>
  <c r="Y79" i="4"/>
  <c r="AC79" i="4"/>
  <c r="W79" i="4"/>
  <c r="AD79" i="4"/>
  <c r="AL79" i="4"/>
  <c r="U79" i="4"/>
  <c r="T79" i="4"/>
  <c r="AI79" i="4"/>
  <c r="O80" i="4"/>
  <c r="P80" i="4" s="1"/>
  <c r="N80" i="4"/>
  <c r="Q78" i="4"/>
  <c r="H82" i="4"/>
  <c r="I81" i="4"/>
  <c r="F83" i="4"/>
  <c r="G82" i="4"/>
  <c r="F84" i="4" l="1"/>
  <c r="G83" i="4"/>
  <c r="O81" i="4"/>
  <c r="P81" i="4" s="1"/>
  <c r="N81" i="4"/>
  <c r="AO80" i="4"/>
  <c r="AG80" i="4"/>
  <c r="Y80" i="4"/>
  <c r="U80" i="4"/>
  <c r="AL80" i="4"/>
  <c r="AH80" i="4"/>
  <c r="AK80" i="4"/>
  <c r="AA80" i="4"/>
  <c r="AD80" i="4"/>
  <c r="AN80" i="4"/>
  <c r="V80" i="4"/>
  <c r="Z80" i="4"/>
  <c r="T80" i="4"/>
  <c r="W80" i="4"/>
  <c r="AC80" i="4"/>
  <c r="AM80" i="4"/>
  <c r="AF80" i="4"/>
  <c r="X80" i="4"/>
  <c r="S80" i="4"/>
  <c r="AI80" i="4"/>
  <c r="AJ80" i="4"/>
  <c r="AB80" i="4"/>
  <c r="AE80" i="4"/>
  <c r="H83" i="4"/>
  <c r="I82" i="4"/>
  <c r="Q79" i="4"/>
  <c r="I83" i="4" l="1"/>
  <c r="H84" i="4"/>
  <c r="F85" i="4"/>
  <c r="G85" i="4" s="1"/>
  <c r="G84" i="4"/>
  <c r="Q80" i="4"/>
  <c r="N82" i="4"/>
  <c r="O82" i="4"/>
  <c r="P82" i="4" s="1"/>
  <c r="AN81" i="4"/>
  <c r="V81" i="4"/>
  <c r="AI81" i="4"/>
  <c r="AO81" i="4"/>
  <c r="U81" i="4"/>
  <c r="AF81" i="4"/>
  <c r="W81" i="4"/>
  <c r="AL81" i="4"/>
  <c r="AG81" i="4"/>
  <c r="S81" i="4"/>
  <c r="AD81" i="4"/>
  <c r="Z81" i="4"/>
  <c r="Y81" i="4"/>
  <c r="X81" i="4"/>
  <c r="AB81" i="4"/>
  <c r="AC81" i="4"/>
  <c r="AM81" i="4"/>
  <c r="AJ81" i="4"/>
  <c r="AH81" i="4"/>
  <c r="AK81" i="4"/>
  <c r="AA81" i="4"/>
  <c r="T81" i="4"/>
  <c r="AE81" i="4"/>
  <c r="H85" i="4" l="1"/>
  <c r="I85" i="4" s="1"/>
  <c r="I84" i="4"/>
  <c r="N83" i="4"/>
  <c r="O83" i="4"/>
  <c r="P83" i="4" s="1"/>
  <c r="AG82" i="4"/>
  <c r="AI82" i="4"/>
  <c r="AF82" i="4"/>
  <c r="AE82" i="4"/>
  <c r="AM82" i="4"/>
  <c r="AJ82" i="4"/>
  <c r="W82" i="4"/>
  <c r="Y82" i="4"/>
  <c r="AL82" i="4"/>
  <c r="U82" i="4"/>
  <c r="AN82" i="4"/>
  <c r="AA82" i="4"/>
  <c r="T82" i="4"/>
  <c r="AO82" i="4"/>
  <c r="AB82" i="4"/>
  <c r="AK82" i="4"/>
  <c r="AD82" i="4"/>
  <c r="X82" i="4"/>
  <c r="V82" i="4"/>
  <c r="Z82" i="4"/>
  <c r="AH82" i="4"/>
  <c r="AC82" i="4"/>
  <c r="S82" i="4"/>
  <c r="Q81" i="4"/>
  <c r="V83" i="4" l="1"/>
  <c r="X83" i="4"/>
  <c r="AA83" i="4"/>
  <c r="S83" i="4"/>
  <c r="U83" i="4"/>
  <c r="AI83" i="4"/>
  <c r="Z83" i="4"/>
  <c r="Y83" i="4"/>
  <c r="AE83" i="4"/>
  <c r="AM83" i="4"/>
  <c r="AN83" i="4"/>
  <c r="AF83" i="4"/>
  <c r="AD83" i="4"/>
  <c r="W83" i="4"/>
  <c r="AK83" i="4"/>
  <c r="AG83" i="4"/>
  <c r="AL83" i="4"/>
  <c r="AB83" i="4"/>
  <c r="T83" i="4"/>
  <c r="AJ83" i="4"/>
  <c r="AC83" i="4"/>
  <c r="AO83" i="4"/>
  <c r="AH83" i="4"/>
  <c r="N84" i="4"/>
  <c r="O84" i="4"/>
  <c r="P84" i="4" s="1"/>
  <c r="N85" i="4"/>
  <c r="O85" i="4"/>
  <c r="P85" i="4" s="1"/>
  <c r="Q82" i="4"/>
  <c r="Q83" i="4" l="1"/>
  <c r="AB85" i="4"/>
  <c r="Y85" i="4"/>
  <c r="AH85" i="4"/>
  <c r="AI85" i="4"/>
  <c r="U85" i="4"/>
  <c r="AN85" i="4"/>
  <c r="X85" i="4"/>
  <c r="AD85" i="4"/>
  <c r="AO85" i="4"/>
  <c r="Z85" i="4"/>
  <c r="T85" i="4"/>
  <c r="AL85" i="4"/>
  <c r="AG85" i="4"/>
  <c r="AM85" i="4"/>
  <c r="AC85" i="4"/>
  <c r="AK85" i="4"/>
  <c r="AF85" i="4"/>
  <c r="AJ85" i="4"/>
  <c r="W85" i="4"/>
  <c r="AE85" i="4"/>
  <c r="AA85" i="4"/>
  <c r="V85" i="4"/>
  <c r="S85" i="4"/>
  <c r="AA84" i="4"/>
  <c r="Z84" i="4"/>
  <c r="AF84" i="4"/>
  <c r="AK84" i="4"/>
  <c r="AD84" i="4"/>
  <c r="AN84" i="4"/>
  <c r="Y84" i="4"/>
  <c r="AM84" i="4"/>
  <c r="AC84" i="4"/>
  <c r="AL84" i="4"/>
  <c r="W84" i="4"/>
  <c r="AG84" i="4"/>
  <c r="V84" i="4"/>
  <c r="S84" i="4"/>
  <c r="U84" i="4"/>
  <c r="T84" i="4"/>
  <c r="AB84" i="4"/>
  <c r="AJ84" i="4"/>
  <c r="AH84" i="4"/>
  <c r="AE84" i="4"/>
  <c r="AI84" i="4"/>
  <c r="AO84" i="4"/>
  <c r="X84" i="4"/>
  <c r="Q85" i="4" l="1"/>
  <c r="Q8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Jamie Vaudrey</author>
    <author>Vaudrey2</author>
  </authors>
  <commentList>
    <comment ref="V3" authorId="0" shapeId="0" xr:uid="{00000000-0006-0000-0000-000001000000}">
      <text>
        <r>
          <rPr>
            <b/>
            <sz val="9"/>
            <color indexed="81"/>
            <rFont val="Tahoma"/>
            <family val="2"/>
          </rPr>
          <t>Jamie Vaudrey:</t>
        </r>
        <r>
          <rPr>
            <sz val="9"/>
            <color indexed="81"/>
            <rFont val="Tahoma"/>
            <family val="2"/>
          </rPr>
          <t xml:space="preserve">
Tf = (22.05 Length + 2.57106 Surface Area – 1.11 Length^2) * 1 d / 24 h
NOTE - length in km, area in km^2; Tf was originally in h, a conversion ot d is included.
Abdelrhman, M.A., 2005. Simplified modeling of flushing and residence times in 42 embayments in New England, USA, with special attention to Greenwich Bay, Rhode Island Estuarine, Coastal and Shelf Science 62, 339-351.</t>
        </r>
      </text>
    </comment>
    <comment ref="W3" authorId="0" shapeId="0" xr:uid="{00000000-0006-0000-0000-000002000000}">
      <text>
        <r>
          <rPr>
            <b/>
            <sz val="9"/>
            <color indexed="81"/>
            <rFont val="Tahoma"/>
            <family val="2"/>
          </rPr>
          <t>Jamie Vaudrey:</t>
        </r>
        <r>
          <rPr>
            <sz val="9"/>
            <color indexed="81"/>
            <rFont val="Tahoma"/>
            <family val="2"/>
          </rPr>
          <t xml:space="preserve">
Tf = (63.83 Length + 7.78344 Surface Area – 3.3 Length^2) 1d / 24 h
NOTE - length in km, area in km^2; Tf was originally in h, a conversion ot d is included.
Abdelrhman, M.A., 2005. Simplified modeling of flushing and residence times in 42 embayments in New England, USA, with special attention to Greenwich Bay, Rhode Island Estuarine, Coastal and Shelf Science 62, 339-351.</t>
        </r>
      </text>
    </comment>
    <comment ref="AD3" authorId="1" shapeId="0" xr:uid="{00000000-0006-0000-0000-000003000000}">
      <text>
        <r>
          <rPr>
            <b/>
            <sz val="9"/>
            <color indexed="81"/>
            <rFont val="Tahoma"/>
            <family val="2"/>
          </rPr>
          <t>Vaudrey2:</t>
        </r>
        <r>
          <rPr>
            <sz val="9"/>
            <color indexed="81"/>
            <rFont val="Tahoma"/>
            <family val="2"/>
          </rPr>
          <t xml:space="preserve">
P = tidal prism (m³)
V = estuary volume at low tide (m³)
P/V &lt; 0.086 = deep
0.086 &lt; P/V &lt; 0.5 = intermediate
P/V &gt; 0.5 = shallow</t>
        </r>
      </text>
    </comment>
    <comment ref="AE3" authorId="1" shapeId="0" xr:uid="{00000000-0006-0000-0000-000004000000}">
      <text>
        <r>
          <rPr>
            <b/>
            <sz val="9"/>
            <color indexed="81"/>
            <rFont val="Tahoma"/>
            <family val="2"/>
          </rPr>
          <t>Vaudrey2:</t>
        </r>
        <r>
          <rPr>
            <sz val="9"/>
            <color indexed="81"/>
            <rFont val="Tahoma"/>
            <family val="2"/>
          </rPr>
          <t xml:space="preserve">
P = tidal prism (m³)
T = tidal period (44,700 s)
Qf = freshwater inflow (m³ s-¹)
Qf T/P &gt; 1.38 = freshwater dominated
Qf T/P &lt; 0.25 = well-mixed or partially mixed
Qf T/P &gt; 0.25 = stratified</t>
        </r>
      </text>
    </comment>
    <comment ref="AR3" authorId="1" shapeId="0" xr:uid="{00000000-0006-0000-0000-000005000000}">
      <text>
        <r>
          <rPr>
            <b/>
            <sz val="9"/>
            <color indexed="81"/>
            <rFont val="Tahoma"/>
            <family val="2"/>
          </rPr>
          <t>Vaudrey2:</t>
        </r>
        <r>
          <rPr>
            <sz val="9"/>
            <color indexed="81"/>
            <rFont val="Tahoma"/>
            <family val="2"/>
          </rPr>
          <t xml:space="preserve">
=IF(BJ4=0,IF(M4&lt;S4+1,"unlikely, too shallow",IF(AK4&gt;S4+1,IF(AO4&gt;0,(IF(AL4&gt;S4+1,"possible now","marginally possible now")),"possible if water clarity improves"),"possible if water clarity improves")),IF(LEFT(BK4,1)="y","currently present, field verified",IF(LEFT(BK4,1)="n","mapped as present but not field verified",IF(LEFT(BK4,1)="a","not mapped in 2017, but field verified by another source","mapped as present but only partially field verified"))))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Jamie Vaudrey</author>
    <author>Mark Parker</author>
    <author>Vaudrey</author>
    <author>jsalata</author>
    <author>Joseph Salata</author>
  </authors>
  <commentList>
    <comment ref="BT1" authorId="0" shapeId="0" xr:uid="{00000000-0006-0000-0200-000001000000}">
      <text>
        <r>
          <rPr>
            <b/>
            <sz val="9"/>
            <color indexed="81"/>
            <rFont val="Tahoma"/>
            <family val="2"/>
          </rPr>
          <t>Jamie Vaudrey:</t>
        </r>
        <r>
          <rPr>
            <sz val="9"/>
            <color indexed="81"/>
            <rFont val="Tahoma"/>
            <family val="2"/>
          </rPr>
          <t xml:space="preserve">
added by Vaudrey, from NPDES permit or http://www.ct.gov/deep/lib/deep/water/water_quality_standards/p/2011interimphosfactsheet.pdf
for NY - http://www.epa.gov/enviro/facts/pcs-icis/search.html; find site, then click on "map"</t>
        </r>
      </text>
    </comment>
    <comment ref="E15" authorId="1" shapeId="0" xr:uid="{00000000-0006-0000-0200-000002000000}">
      <text>
        <r>
          <rPr>
            <b/>
            <sz val="8"/>
            <color indexed="81"/>
            <rFont val="Tahoma"/>
            <family val="2"/>
          </rPr>
          <t>Mark Parker:  Pfizer's discharge is now primarily noncontact cooling water and storm water.  Their permit was reissued July 2008 and they are no longer required to monitor for nitrogen.  Numbers are no longer available after July '08.</t>
        </r>
        <r>
          <rPr>
            <sz val="8"/>
            <color indexed="81"/>
            <rFont val="Tahoma"/>
            <family val="2"/>
          </rPr>
          <t xml:space="preserve">
</t>
        </r>
      </text>
    </comment>
    <comment ref="E39" authorId="2" shapeId="0" xr:uid="{00000000-0006-0000-0200-000003000000}">
      <text>
        <r>
          <rPr>
            <b/>
            <sz val="9"/>
            <color indexed="81"/>
            <rFont val="Tahoma"/>
            <family val="2"/>
          </rPr>
          <t>Vaudrey:</t>
        </r>
        <r>
          <rPr>
            <sz val="9"/>
            <color indexed="81"/>
            <rFont val="Tahoma"/>
            <family val="2"/>
          </rPr>
          <t xml:space="preserve">
Georgetown is same as Redding
</t>
        </r>
      </text>
    </comment>
    <comment ref="BS39" authorId="2" shapeId="0" xr:uid="{00000000-0006-0000-0200-000004000000}">
      <text>
        <r>
          <rPr>
            <b/>
            <sz val="9"/>
            <color indexed="81"/>
            <rFont val="Tahoma"/>
            <family val="2"/>
          </rPr>
          <t>Vaudrey:</t>
        </r>
        <r>
          <rPr>
            <sz val="9"/>
            <color indexed="81"/>
            <rFont val="Tahoma"/>
            <family val="2"/>
          </rPr>
          <t xml:space="preserve">
Georgetown is same as Redding
</t>
        </r>
      </text>
    </comment>
    <comment ref="E42" authorId="2" shapeId="0" xr:uid="{00000000-0006-0000-0200-000005000000}">
      <text>
        <r>
          <rPr>
            <b/>
            <sz val="9"/>
            <color indexed="81"/>
            <rFont val="Tahoma"/>
            <family val="2"/>
          </rPr>
          <t>Vaudrey:</t>
        </r>
        <r>
          <rPr>
            <sz val="9"/>
            <color indexed="81"/>
            <rFont val="Tahoma"/>
            <family val="2"/>
          </rPr>
          <t xml:space="preserve">
Georgetown is same as Redding
</t>
        </r>
      </text>
    </comment>
    <comment ref="BS42" authorId="2" shapeId="0" xr:uid="{00000000-0006-0000-0200-000006000000}">
      <text>
        <r>
          <rPr>
            <b/>
            <sz val="9"/>
            <color indexed="81"/>
            <rFont val="Tahoma"/>
            <family val="2"/>
          </rPr>
          <t>Vaudrey:</t>
        </r>
        <r>
          <rPr>
            <sz val="9"/>
            <color indexed="81"/>
            <rFont val="Tahoma"/>
            <family val="2"/>
          </rPr>
          <t xml:space="preserve">
Georgetown is same as Redding
</t>
        </r>
      </text>
    </comment>
    <comment ref="E50" authorId="3" shapeId="0" xr:uid="{00000000-0006-0000-0200-000007000000}">
      <text>
        <r>
          <rPr>
            <b/>
            <sz val="10"/>
            <color indexed="81"/>
            <rFont val="Tahoma"/>
            <family val="2"/>
          </rPr>
          <t>jsalata:</t>
        </r>
        <r>
          <rPr>
            <sz val="10"/>
            <color indexed="81"/>
            <rFont val="Tahoma"/>
            <family val="2"/>
          </rPr>
          <t xml:space="preserve">
BNR commenced 4/06 Full buildout for N (Phase 2 at other STPs) TBC 12/31/11; SHARON TBC 7/31/09. $142M.</t>
        </r>
      </text>
    </comment>
    <comment ref="E51" authorId="3" shapeId="0" xr:uid="{00000000-0006-0000-0200-000008000000}">
      <text>
        <r>
          <rPr>
            <b/>
            <sz val="10"/>
            <color indexed="81"/>
            <rFont val="Tahoma"/>
            <family val="2"/>
          </rPr>
          <t>jsalata:</t>
        </r>
        <r>
          <rPr>
            <sz val="10"/>
            <color indexed="81"/>
            <rFont val="Tahoma"/>
            <family val="2"/>
          </rPr>
          <t xml:space="preserve">
Phase 1 BNR commenced 4/2003 TBC 6/30/09; Pase 2 (C+) TBC 8/1/15; $203M.</t>
        </r>
      </text>
    </comment>
    <comment ref="E52" authorId="3" shapeId="0" xr:uid="{00000000-0006-0000-0200-000009000000}">
      <text>
        <r>
          <rPr>
            <b/>
            <sz val="10"/>
            <color indexed="81"/>
            <rFont val="Tahoma"/>
            <family val="2"/>
          </rPr>
          <t>jsalata:</t>
        </r>
        <r>
          <rPr>
            <sz val="10"/>
            <color indexed="81"/>
            <rFont val="Tahoma"/>
            <family val="2"/>
          </rPr>
          <t xml:space="preserve">
Phase I construction of BNR commenced in 2006; expected completion 12/31/12; Pase 2 (C addition) TBC 7/1/16.</t>
        </r>
      </text>
    </comment>
    <comment ref="E53" authorId="3" shapeId="0" xr:uid="{00000000-0006-0000-0200-00000A000000}">
      <text>
        <r>
          <rPr>
            <b/>
            <sz val="10"/>
            <color indexed="81"/>
            <rFont val="Tahoma"/>
            <family val="2"/>
          </rPr>
          <t>jsalata:</t>
        </r>
        <r>
          <rPr>
            <sz val="10"/>
            <color indexed="81"/>
            <rFont val="Tahoma"/>
            <family val="2"/>
          </rPr>
          <t xml:space="preserve">
BNR commenced 5/06 TBC 12/31/11; Pase 2 TBC 2017. $80M.</t>
        </r>
      </text>
    </comment>
    <comment ref="BA85" authorId="1" shapeId="0" xr:uid="{00000000-0006-0000-0200-00000B000000}">
      <text>
        <r>
          <rPr>
            <b/>
            <sz val="9"/>
            <color indexed="81"/>
            <rFont val="Tahoma"/>
            <family val="2"/>
          </rPr>
          <t>Mark Parker:</t>
        </r>
        <r>
          <rPr>
            <sz val="9"/>
            <color indexed="81"/>
            <rFont val="Tahoma"/>
            <family val="2"/>
          </rPr>
          <t xml:space="preserve">
Plant construction upgrades were incomplete and had problems with sludge process controls.  Resulting in poor nitrogen removal. </t>
        </r>
      </text>
    </comment>
    <comment ref="E107" authorId="4" shapeId="0" xr:uid="{00000000-0006-0000-0200-00000C000000}">
      <text>
        <r>
          <rPr>
            <b/>
            <sz val="8"/>
            <color indexed="81"/>
            <rFont val="Tahoma"/>
            <family val="2"/>
          </rPr>
          <t>Joseph Salata:</t>
        </r>
        <r>
          <rPr>
            <sz val="8"/>
            <color indexed="81"/>
            <rFont val="Tahoma"/>
            <family val="2"/>
          </rPr>
          <t xml:space="preserve">
This facility went out of business (oob) in 2000. No more discharges.</t>
        </r>
      </text>
    </comment>
    <comment ref="E109" authorId="4" shapeId="0" xr:uid="{00000000-0006-0000-0200-00000D000000}">
      <text>
        <r>
          <rPr>
            <b/>
            <sz val="8"/>
            <color indexed="81"/>
            <rFont val="Tahoma"/>
            <family val="2"/>
          </rPr>
          <t>Joseph Salata:</t>
        </r>
        <r>
          <rPr>
            <sz val="8"/>
            <color indexed="81"/>
            <rFont val="Tahoma"/>
            <family val="2"/>
          </rPr>
          <t xml:space="preserve">
This is a private plant at a condominium complex, which will not be part of the general permit because it is under the discharge threshold.</t>
        </r>
      </text>
    </comment>
    <comment ref="E118" authorId="4" shapeId="0" xr:uid="{00000000-0006-0000-0200-00000E000000}">
      <text>
        <r>
          <rPr>
            <b/>
            <sz val="8"/>
            <color indexed="81"/>
            <rFont val="Tahoma"/>
            <family val="2"/>
          </rPr>
          <t>Joseph Salata:</t>
        </r>
        <r>
          <rPr>
            <sz val="8"/>
            <color indexed="81"/>
            <rFont val="Tahoma"/>
            <family val="2"/>
          </rPr>
          <t xml:space="preserve">
This is several small dischargers that do not meet minimum state discharge requirements. We are reporting baseline per CTDEP input to CTCEQ data.</t>
        </r>
      </text>
    </comment>
    <comment ref="E120" authorId="4" shapeId="0" xr:uid="{00000000-0006-0000-0200-00000F000000}">
      <text>
        <r>
          <rPr>
            <b/>
            <sz val="8"/>
            <color indexed="81"/>
            <rFont val="Tahoma"/>
            <family val="2"/>
          </rPr>
          <t>Joseph Salata:</t>
        </r>
        <r>
          <rPr>
            <sz val="8"/>
            <color indexed="81"/>
            <rFont val="Tahoma"/>
            <family val="2"/>
          </rPr>
          <t xml:space="preserve">
Plant closed in 2000, flow assumed by Waterbury WPCF.</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Vaudrey2</author>
  </authors>
  <commentList>
    <comment ref="F1" authorId="0" shapeId="0" xr:uid="{00000000-0006-0000-0600-000001000000}">
      <text>
        <r>
          <rPr>
            <b/>
            <sz val="9"/>
            <color indexed="81"/>
            <rFont val="Tahoma"/>
            <family val="2"/>
          </rPr>
          <t>Vaudrey2:</t>
        </r>
        <r>
          <rPr>
            <sz val="9"/>
            <color indexed="81"/>
            <rFont val="Tahoma"/>
            <family val="2"/>
          </rPr>
          <t xml:space="preserve">
=IF(AZ3=0,IF(I3&lt;Q3+1,"never, too shallow",IF(AH3&gt;Q3+1,"possible now","possible if water clarity improves")),"currently present")
Jordan Cove &amp; Black Hall River - manual adjustment: unlikely, too shallow</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Vaudrey2</author>
  </authors>
  <commentList>
    <comment ref="D1" authorId="0" shapeId="0" xr:uid="{00000000-0006-0000-0900-000001000000}">
      <text>
        <r>
          <rPr>
            <b/>
            <sz val="9"/>
            <color indexed="81"/>
            <rFont val="Tahoma"/>
            <family val="2"/>
          </rPr>
          <t>Vaudrey2:</t>
        </r>
        <r>
          <rPr>
            <sz val="9"/>
            <color indexed="81"/>
            <rFont val="Tahoma"/>
            <family val="2"/>
          </rPr>
          <t xml:space="preserve">
from J O'Donnell</t>
        </r>
      </text>
    </comment>
    <comment ref="E1" authorId="0" shapeId="0" xr:uid="{00000000-0006-0000-0900-000002000000}">
      <text>
        <r>
          <rPr>
            <b/>
            <sz val="9"/>
            <color indexed="81"/>
            <rFont val="Tahoma"/>
            <family val="2"/>
          </rPr>
          <t>Vaudrey2:</t>
        </r>
        <r>
          <rPr>
            <sz val="9"/>
            <color indexed="81"/>
            <rFont val="Tahoma"/>
            <family val="2"/>
          </rPr>
          <t xml:space="preserve">
from J O'Donnell</t>
        </r>
      </text>
    </comment>
  </commentList>
</comments>
</file>

<file path=xl/sharedStrings.xml><?xml version="1.0" encoding="utf-8"?>
<sst xmlns="http://schemas.openxmlformats.org/spreadsheetml/2006/main" count="1601" uniqueCount="772">
  <si>
    <t>ID#</t>
  </si>
  <si>
    <t>Pawcatuck River, RI</t>
  </si>
  <si>
    <t>Little Narragansett Bay, CT</t>
  </si>
  <si>
    <t>Wequetequock Cove, CT</t>
  </si>
  <si>
    <t>Quanaduck Cove, CT</t>
  </si>
  <si>
    <t>Stonington Harbor, CT</t>
  </si>
  <si>
    <t>Quiambog Cove, CT</t>
  </si>
  <si>
    <t>Wilcox Cove, CT</t>
  </si>
  <si>
    <t>Williams Cove, CT</t>
  </si>
  <si>
    <t>Mystic River, CT</t>
  </si>
  <si>
    <t>Bebee Cove, CT</t>
  </si>
  <si>
    <t>West Cove, CT</t>
  </si>
  <si>
    <t>Palmer Cove, CT</t>
  </si>
  <si>
    <t>Venetian Harbor, CT</t>
  </si>
  <si>
    <t>Mumford Cove,  CT</t>
  </si>
  <si>
    <t>Poquonock River, CT</t>
  </si>
  <si>
    <t>Baker Cove, CT</t>
  </si>
  <si>
    <t>Alewife Cove, CT</t>
  </si>
  <si>
    <t>Goshen Cove, CT</t>
  </si>
  <si>
    <t>Jordan Cove, CT</t>
  </si>
  <si>
    <t>Gardners Pond, CT</t>
  </si>
  <si>
    <t>Niantic River, CT</t>
  </si>
  <si>
    <t>Niantic Bay, CT</t>
  </si>
  <si>
    <t>Pattagansett River, CT</t>
  </si>
  <si>
    <t>Bride Brook, CT</t>
  </si>
  <si>
    <t>Four Mile River, CT</t>
  </si>
  <si>
    <t>Threemile River, CT</t>
  </si>
  <si>
    <t>Black Hall River, CT</t>
  </si>
  <si>
    <t>South Cove, CT</t>
  </si>
  <si>
    <t>Indiantown Harbor, CT</t>
  </si>
  <si>
    <t>Oyster River, Old Saybrook, CT</t>
  </si>
  <si>
    <t>Hagar Creek, CT</t>
  </si>
  <si>
    <t>Patchogue River, CT</t>
  </si>
  <si>
    <t>Menunkesucket River, CT</t>
  </si>
  <si>
    <t>Clinton Harbor, CT</t>
  </si>
  <si>
    <t>Toms Creek, CT</t>
  </si>
  <si>
    <t>Fence Creek, CT</t>
  </si>
  <si>
    <t>Guilford Harbor, CT</t>
  </si>
  <si>
    <t>Indian Cove, CT</t>
  </si>
  <si>
    <t>Sachem Head Harbor, CT</t>
  </si>
  <si>
    <t>Joshua Cove, CT</t>
  </si>
  <si>
    <t>Island Bay, CT</t>
  </si>
  <si>
    <t>Little Harbor, CT</t>
  </si>
  <si>
    <t>Branford Harbor, CT</t>
  </si>
  <si>
    <t>Pages Cove, CT</t>
  </si>
  <si>
    <t>Farm River, CT</t>
  </si>
  <si>
    <t>New Haven Harbor, CT</t>
  </si>
  <si>
    <t>Oyster River, Milford, CT</t>
  </si>
  <si>
    <t>Calf Pen Meadow Creek, CT</t>
  </si>
  <si>
    <t>Milford Harbor, CT</t>
  </si>
  <si>
    <t>Housatonic River, CT</t>
  </si>
  <si>
    <t>Lewis Gut, CT</t>
  </si>
  <si>
    <t>Bridgeport Harbor, CT</t>
  </si>
  <si>
    <t>Pequonnock River, CT</t>
  </si>
  <si>
    <t>Black Rock Harbor, CT</t>
  </si>
  <si>
    <t>Ash Creek, CT</t>
  </si>
  <si>
    <t>Pine Creek, CT</t>
  </si>
  <si>
    <t>Mill River, CT</t>
  </si>
  <si>
    <t>Sasco Brook, CT</t>
  </si>
  <si>
    <t>Sherwood Millpond, CT</t>
  </si>
  <si>
    <t>Compo Cove, CT</t>
  </si>
  <si>
    <t>Saugatuck River, North, CT (Freshwater)</t>
  </si>
  <si>
    <t>Saugatuck River, CT</t>
  </si>
  <si>
    <t>Cockenoe Harbor, CT</t>
  </si>
  <si>
    <t>Norwalk Harbor, CT</t>
  </si>
  <si>
    <t>Sheffield Island Harbor, CT</t>
  </si>
  <si>
    <t>Five Mile River, CT</t>
  </si>
  <si>
    <t>Scotts Cove, CT</t>
  </si>
  <si>
    <t>Gorham Pond, CT</t>
  </si>
  <si>
    <t>Darien River, CT</t>
  </si>
  <si>
    <t>Holly Pond, CT</t>
  </si>
  <si>
    <t>Cove Harbor, CT</t>
  </si>
  <si>
    <t>Wescott Cove, CT</t>
  </si>
  <si>
    <t>Stamford Harbor, CT</t>
  </si>
  <si>
    <t>Greenwich Cove, CT</t>
  </si>
  <si>
    <t>Mianus River, CT</t>
  </si>
  <si>
    <t>Indian Harbor, CT</t>
  </si>
  <si>
    <t>Smith Cove, CT</t>
  </si>
  <si>
    <t>Greenwich Harbor, CT</t>
  </si>
  <si>
    <t>Captain Harbor, CT</t>
  </si>
  <si>
    <t>Byram River, CT</t>
  </si>
  <si>
    <t>Kirby Pond, NY</t>
  </si>
  <si>
    <t>Playland Lake, NY</t>
  </si>
  <si>
    <t>Milton Harbor, NY</t>
  </si>
  <si>
    <t>Van Amringe Millpond, NY</t>
  </si>
  <si>
    <t>Mamaroneck River, NY</t>
  </si>
  <si>
    <t>Larchmont Harbor, NY</t>
  </si>
  <si>
    <t>Premium Millpond, NY</t>
  </si>
  <si>
    <t>Echo Bay, NY</t>
  </si>
  <si>
    <t>Hunter Island Bay, NY</t>
  </si>
  <si>
    <t>Eastchester Bay, NY</t>
  </si>
  <si>
    <t>Westchester Creek, NY</t>
  </si>
  <si>
    <t>Pugsley Creek, NY</t>
  </si>
  <si>
    <t>Little Neck Bay, NY</t>
  </si>
  <si>
    <t>Manhasset Bay, NY</t>
  </si>
  <si>
    <t>Hempstead Harbor, NY</t>
  </si>
  <si>
    <t>Dosoris Pond, NY</t>
  </si>
  <si>
    <t>Frost Creek, NY</t>
  </si>
  <si>
    <t>Mill Neck Creek, NY</t>
  </si>
  <si>
    <t>Oyster Bay, NY</t>
  </si>
  <si>
    <t>Cold Spring Harbor, NY</t>
  </si>
  <si>
    <t>Lloyd Harbor, NY</t>
  </si>
  <si>
    <t>Huntington Harbor, NY</t>
  </si>
  <si>
    <t>Centerport Harbor, NY</t>
  </si>
  <si>
    <t>Northport Harbor, NY</t>
  </si>
  <si>
    <t>Northport Bay, NY</t>
  </si>
  <si>
    <t>Huntington Bay, NY</t>
  </si>
  <si>
    <t>Nissequogue River, NY</t>
  </si>
  <si>
    <t>Stony Brook Harbor, NY</t>
  </si>
  <si>
    <t>Conscience Bay, NY</t>
  </si>
  <si>
    <t>Port Jefferson Harbor, NY</t>
  </si>
  <si>
    <t>Mount Sinai Harbor, NY</t>
  </si>
  <si>
    <t>Mattituck Creek, NY</t>
  </si>
  <si>
    <t>Goldsmith's Inlet, NY</t>
  </si>
  <si>
    <t>Longitude at Entrance from LIS (dec. deg.)</t>
  </si>
  <si>
    <t>Light Attenuation Coefficient, Kd (1/m)</t>
  </si>
  <si>
    <t>red = priority embayments</t>
  </si>
  <si>
    <t>Units = lbs/day of total nitrogen
original sort order</t>
  </si>
  <si>
    <t>REQUIRED sort order</t>
  </si>
  <si>
    <t>Zone</t>
  </si>
  <si>
    <t>Tier</t>
  </si>
  <si>
    <t>Transport Efficiency Factor</t>
  </si>
  <si>
    <t>Baseline</t>
  </si>
  <si>
    <t>Trade-equalized Baseline</t>
  </si>
  <si>
    <t>WLA</t>
  </si>
  <si>
    <t>TE WLA</t>
  </si>
  <si>
    <t>1994TE</t>
  </si>
  <si>
    <t>1995TE</t>
  </si>
  <si>
    <t>1996TE</t>
  </si>
  <si>
    <t>1997TE</t>
  </si>
  <si>
    <t>1998TE</t>
  </si>
  <si>
    <t>1999TE</t>
  </si>
  <si>
    <t>2000TE</t>
  </si>
  <si>
    <t>2001TE</t>
  </si>
  <si>
    <t>2002TE</t>
  </si>
  <si>
    <t>2003TE</t>
  </si>
  <si>
    <t>2004TE</t>
  </si>
  <si>
    <t>2005TE</t>
  </si>
  <si>
    <t>2006TE</t>
  </si>
  <si>
    <t>2007TE</t>
  </si>
  <si>
    <t>2008TE</t>
  </si>
  <si>
    <t>2009TE</t>
  </si>
  <si>
    <t>2010TE</t>
  </si>
  <si>
    <t>2011TE</t>
  </si>
  <si>
    <t>2012TE</t>
  </si>
  <si>
    <t>2013TE</t>
  </si>
  <si>
    <t>2014TE</t>
  </si>
  <si>
    <t>2015TE</t>
  </si>
  <si>
    <t>2016TE</t>
  </si>
  <si>
    <t>2017TE</t>
  </si>
  <si>
    <t>2018TE</t>
  </si>
  <si>
    <t>2019TE</t>
  </si>
  <si>
    <t>TMDL Target</t>
  </si>
  <si>
    <t>TMDL TE Target</t>
  </si>
  <si>
    <t xml:space="preserve"> </t>
  </si>
  <si>
    <t>RI - NY order</t>
  </si>
  <si>
    <t># of WPCF within watershed</t>
  </si>
  <si>
    <t>Lookup ID Code</t>
  </si>
  <si>
    <t>State</t>
  </si>
  <si>
    <r>
      <rPr>
        <b/>
        <sz val="10"/>
        <rFont val="Calibri"/>
        <family val="2"/>
        <scheme val="minor"/>
      </rPr>
      <t>Wastewater Treatment Facility</t>
    </r>
    <r>
      <rPr>
        <sz val="10"/>
        <rFont val="Calibri"/>
        <family val="2"/>
        <scheme val="minor"/>
      </rPr>
      <t xml:space="preserve">                                                                        (CAPITILIZED = not tracked by CTDEEP nitrogen trading program)</t>
    </r>
  </si>
  <si>
    <r>
      <rPr>
        <b/>
        <sz val="10"/>
        <rFont val="Calibri"/>
        <family val="2"/>
        <scheme val="minor"/>
      </rPr>
      <t>Receiving Waters</t>
    </r>
    <r>
      <rPr>
        <sz val="10"/>
        <rFont val="Calibri"/>
        <family val="2"/>
        <scheme val="minor"/>
      </rPr>
      <t xml:space="preserve">                                                                                                                   (orange highlights = WPCF at mouth, half goes to LIS, half to embayment)                                                                               (green highlights = discharged to groundwater, attenuation in aquifer is applied)</t>
    </r>
  </si>
  <si>
    <t>time period</t>
  </si>
  <si>
    <t>LOAD TO USE, by WPCF        (kgN / y)</t>
  </si>
  <si>
    <t>StDev of Load to Use (kgN / y)</t>
  </si>
  <si>
    <t>stdev as % of 3-y avg</t>
  </si>
  <si>
    <t>Site ID</t>
  </si>
  <si>
    <t>Site Name</t>
  </si>
  <si>
    <t>LOAD TO USE, by embayment        (kgN / y)</t>
  </si>
  <si>
    <t>STD DEV TO USE, by embayment        (kgN / y)</t>
  </si>
  <si>
    <t>LOOKUP FUNCTION   --&gt;</t>
  </si>
  <si>
    <t>LOAD TO USE        (kgN / y)</t>
  </si>
  <si>
    <r>
      <rPr>
        <sz val="10"/>
        <color theme="0"/>
        <rFont val="Calibri"/>
        <family val="2"/>
        <scheme val="minor"/>
      </rPr>
      <t>….</t>
    </r>
    <r>
      <rPr>
        <sz val="10"/>
        <rFont val="Calibri"/>
        <family val="2"/>
        <scheme val="minor"/>
      </rPr>
      <t>WPCF#
Site ID#</t>
    </r>
  </si>
  <si>
    <t>Square of STD DEV TO USE
(kgN / y)
(for calculating error from sum of squares)</t>
  </si>
  <si>
    <t>Westerly WWTF</t>
  </si>
  <si>
    <t>RI</t>
  </si>
  <si>
    <t>2017-19</t>
  </si>
  <si>
    <t>Kenyon Industries</t>
  </si>
  <si>
    <t>Pawcatuck River</t>
  </si>
  <si>
    <t>Stonington/Pawcatuck WPCF</t>
  </si>
  <si>
    <t>CT</t>
  </si>
  <si>
    <t>Stonington Borough WPCF</t>
  </si>
  <si>
    <t>Stonington Harbor, S of train bridge</t>
  </si>
  <si>
    <t>Stonington Mystic WPCF</t>
  </si>
  <si>
    <t>Mystic River</t>
  </si>
  <si>
    <t>MASHANTUCKET PEQUOT TRIBAL NATION, not in CTDEEP list</t>
  </si>
  <si>
    <t>Ledyard WPCF</t>
  </si>
  <si>
    <t>Groton City WPCF</t>
  </si>
  <si>
    <t>Thames River</t>
  </si>
  <si>
    <t>Groton Town WPCF [2010]</t>
  </si>
  <si>
    <t>2017-20</t>
  </si>
  <si>
    <t>Montville WPCF</t>
  </si>
  <si>
    <t>New London WPCF</t>
  </si>
  <si>
    <t>Norwich WPCF</t>
  </si>
  <si>
    <t>Pfizer (Industrial) (P)</t>
  </si>
  <si>
    <t>Jewett City WPCF</t>
  </si>
  <si>
    <t>Quinebaug River  (drains to Thames R.) - out but close</t>
  </si>
  <si>
    <t>Sprague WPCF</t>
  </si>
  <si>
    <t>Shetucket River (drains to Thames R.) - out but close</t>
  </si>
  <si>
    <t>DEEP RIVER WPCF, not in CTDEEP list</t>
  </si>
  <si>
    <t>Connecticut River</t>
  </si>
  <si>
    <t>2017-21</t>
  </si>
  <si>
    <t>Thames River, CT</t>
  </si>
  <si>
    <t>EAST HADDAM WPCF, not in CTDEEP list</t>
  </si>
  <si>
    <t>Branford WPCF</t>
  </si>
  <si>
    <t>Branford Harbor</t>
  </si>
  <si>
    <t>North Haven WPCF</t>
  </si>
  <si>
    <t>Quinnipiac River</t>
  </si>
  <si>
    <t>Wallingford WPCF</t>
  </si>
  <si>
    <t>West Haven WPCF</t>
  </si>
  <si>
    <t>New Haven Harbor / LIS - at mouth (half of reported loads)</t>
  </si>
  <si>
    <t>Cheshire WPCF</t>
  </si>
  <si>
    <t>ALLNEX USA (fka. Cytec) (Industrial)</t>
  </si>
  <si>
    <t>Cytec (Industrial) (P)</t>
  </si>
  <si>
    <t xml:space="preserve">Meriden WPCF </t>
  </si>
  <si>
    <t>Meriden WPCF [2010]</t>
  </si>
  <si>
    <t xml:space="preserve">Southington WPCF </t>
  </si>
  <si>
    <t>Southington WPCF [2010]</t>
  </si>
  <si>
    <t>New Haven East WPCF</t>
  </si>
  <si>
    <t>New Haven Harbor</t>
  </si>
  <si>
    <t>Ansonia WPCF</t>
  </si>
  <si>
    <t>Naugatuck River (drains to Housatonic R.) - out but close</t>
  </si>
  <si>
    <t>Derby WPCF</t>
  </si>
  <si>
    <t>Housatonic River - out but close</t>
  </si>
  <si>
    <t>Connecticut River, CT</t>
  </si>
  <si>
    <t>MERRITT CORPORATE WOODS, not in CTDEEP list</t>
  </si>
  <si>
    <t>Housatonic River</t>
  </si>
  <si>
    <t>Milford Beaver Brook WPCF</t>
  </si>
  <si>
    <t>Housatonic River, near mouth</t>
  </si>
  <si>
    <t>Milford Housatonic WPCF</t>
  </si>
  <si>
    <t>Shelton WPCF</t>
  </si>
  <si>
    <t>Stratford WPCF</t>
  </si>
  <si>
    <t>Bridgeport East WPCF</t>
  </si>
  <si>
    <t>Pequonnock River</t>
  </si>
  <si>
    <t>Bridgeport West WPCF</t>
  </si>
  <si>
    <t>Westport WPCF</t>
  </si>
  <si>
    <t>Saugatuck River</t>
  </si>
  <si>
    <t>GEORGETOWN WPCF, not in CTDEEP list</t>
  </si>
  <si>
    <t>Norwalk River</t>
  </si>
  <si>
    <t>Ridgefield South St.  WPCF</t>
  </si>
  <si>
    <t xml:space="preserve">Norwalk River, Great Swamp - </t>
  </si>
  <si>
    <t>Norwalk WPCF</t>
  </si>
  <si>
    <t>REDDING WASTEWATER TREATMENT FACILITY</t>
  </si>
  <si>
    <t>Norwalk Harbor</t>
  </si>
  <si>
    <t>RIDGEFIELD WATER POLLUTION CONTROL FACILITY</t>
  </si>
  <si>
    <t>SCHOOL SISTERS OF NOTRE DAME, not in CTDEEP list</t>
  </si>
  <si>
    <t>New Canaan WPCF</t>
  </si>
  <si>
    <t>Five Mile River</t>
  </si>
  <si>
    <t>Stamford WPCF</t>
  </si>
  <si>
    <t>Stamford Harbor</t>
  </si>
  <si>
    <t>GREENWICH AMERICAN CENTRE, not in CTDEEP list</t>
  </si>
  <si>
    <t>Byram River</t>
  </si>
  <si>
    <t>ROUND HILL CLUB, not in CTDEEP list</t>
  </si>
  <si>
    <t>CONVENT OF THE SACRED HEART SCHOOL GREENWICH, INC.</t>
  </si>
  <si>
    <t>Wards island</t>
  </si>
  <si>
    <t>NY</t>
  </si>
  <si>
    <t>Wards Island</t>
  </si>
  <si>
    <t>East River</t>
  </si>
  <si>
    <t>Hunts Point</t>
  </si>
  <si>
    <t>Upper East River</t>
  </si>
  <si>
    <t>Bowery Bay</t>
  </si>
  <si>
    <t>East River, Riker's Island Channel</t>
  </si>
  <si>
    <t>Tallman Island</t>
  </si>
  <si>
    <t>Newtown Creek</t>
  </si>
  <si>
    <t>Red Hook</t>
  </si>
  <si>
    <t>Belgrave</t>
  </si>
  <si>
    <t>Little Neck Bay</t>
  </si>
  <si>
    <t>Great Neck/WPCD</t>
  </si>
  <si>
    <t>Great Neck SD</t>
  </si>
  <si>
    <t>Manhasset Bay</t>
  </si>
  <si>
    <t>Great Neck (Village)</t>
  </si>
  <si>
    <t>Port Washington</t>
  </si>
  <si>
    <t>Glen Cove</t>
  </si>
  <si>
    <t>Glen Cove Creek (drains to Hempstead H.)</t>
  </si>
  <si>
    <t>CONTINENTAL VILLA LOCUST VLY</t>
  </si>
  <si>
    <t>Mill Neck Creek</t>
  </si>
  <si>
    <t>Oyster Bay</t>
  </si>
  <si>
    <t>`</t>
  </si>
  <si>
    <t>11W</t>
  </si>
  <si>
    <t>Huntington</t>
  </si>
  <si>
    <t>Huntington - GROUNDWATER, aquifer attenuation applied</t>
  </si>
  <si>
    <t>Huntington Harbor - groundwater outflow, aquifer attenuation applied</t>
  </si>
  <si>
    <t>Northport (Village)</t>
  </si>
  <si>
    <t>Northport Harbor</t>
  </si>
  <si>
    <t>SUNY (SCSD #21)</t>
  </si>
  <si>
    <t>Port Jefferson Harbor</t>
  </si>
  <si>
    <t>Port Jefferson (SCSD#1)</t>
  </si>
  <si>
    <t>Kings Park (SCSD #6)</t>
  </si>
  <si>
    <t>LIS, Smithtown Bay</t>
  </si>
  <si>
    <t>Fairfield WPCF</t>
  </si>
  <si>
    <t>LIS</t>
  </si>
  <si>
    <t>Greenwich WPCF</t>
  </si>
  <si>
    <t>Greenwich WPCF (Grass Island)</t>
  </si>
  <si>
    <t>LIS, Western</t>
  </si>
  <si>
    <t>Port Chester WPCF</t>
  </si>
  <si>
    <t>Blind Brook WPCF</t>
  </si>
  <si>
    <t>New Rochelle WPCF</t>
  </si>
  <si>
    <t>11E</t>
  </si>
  <si>
    <t>Greenport (Village)</t>
  </si>
  <si>
    <t>LIS, Eastern</t>
  </si>
  <si>
    <t>Mamaroneck WPCF</t>
  </si>
  <si>
    <t>3Q</t>
  </si>
  <si>
    <t>Killingly WPCF</t>
  </si>
  <si>
    <t>Quinebaug River  (drains to Thames R.)</t>
  </si>
  <si>
    <t>Plainfield North WPCF</t>
  </si>
  <si>
    <t>Plainfield Village WPCF</t>
  </si>
  <si>
    <t>Putnam WPCF</t>
  </si>
  <si>
    <t>Thompson WPCF</t>
  </si>
  <si>
    <t>3S</t>
  </si>
  <si>
    <t>Stafford Springs WPCF</t>
  </si>
  <si>
    <t>Willimantic River (drains to Thames R.)</t>
  </si>
  <si>
    <t>UCONN WPCF</t>
  </si>
  <si>
    <t>Windham WPCF</t>
  </si>
  <si>
    <t>Shetucket River (drains to Thames R.)</t>
  </si>
  <si>
    <t>East Hampton WPCF</t>
  </si>
  <si>
    <t>Glastonbury WPCF</t>
  </si>
  <si>
    <t>Hartford WPCF</t>
  </si>
  <si>
    <t>Mattabasset WPCF</t>
  </si>
  <si>
    <t>Connecticut River, groundwater</t>
  </si>
  <si>
    <t>Middletown WPCF</t>
  </si>
  <si>
    <t>Portland WPCF</t>
  </si>
  <si>
    <t>Rocky Hill WPCF</t>
  </si>
  <si>
    <t>East Hartford WPCF</t>
  </si>
  <si>
    <t>East Windsor WPCF</t>
  </si>
  <si>
    <t>Enfield WPCF</t>
  </si>
  <si>
    <t>Manchester WPCF</t>
  </si>
  <si>
    <t>Hockanum River (drains to Connecticut R.)</t>
  </si>
  <si>
    <t>Windsor Poquonock WPCF</t>
  </si>
  <si>
    <t>Farmington River (drains to Connecticut R.)</t>
  </si>
  <si>
    <t>South Windsor WPCF</t>
  </si>
  <si>
    <t>Suffield WPCF</t>
  </si>
  <si>
    <t>East River, NY</t>
  </si>
  <si>
    <t>Vernon WPCF</t>
  </si>
  <si>
    <t>Windsor Locks WPCF</t>
  </si>
  <si>
    <t>Bristol WPCF</t>
  </si>
  <si>
    <t>Canton WPCF</t>
  </si>
  <si>
    <t>Farmington WPCF</t>
  </si>
  <si>
    <t>New Hartford</t>
  </si>
  <si>
    <t>Plainville WPCF</t>
  </si>
  <si>
    <t>Plymouth WPCF</t>
  </si>
  <si>
    <t>Simsbury WPCF</t>
  </si>
  <si>
    <t>Winsted WPCF</t>
  </si>
  <si>
    <t>UpJohn (Industrial) OOB</t>
  </si>
  <si>
    <t>Beacon Falls WPCF</t>
  </si>
  <si>
    <t>Naugatuck River (drains to Housatonic R.)</t>
  </si>
  <si>
    <t>Heritage Village (P)</t>
  </si>
  <si>
    <t>Heritage Village (P) (HERITAGE HILLS STP?)</t>
  </si>
  <si>
    <t>Pomperaug River (drains to Housatonic R.) (Brown Br)</t>
  </si>
  <si>
    <t>Seymour WPCF</t>
  </si>
  <si>
    <t>2H</t>
  </si>
  <si>
    <t>Danbury WPCF</t>
  </si>
  <si>
    <t>Danbury WPCF [2010]</t>
  </si>
  <si>
    <t>Limekiln Brook</t>
  </si>
  <si>
    <t>New Milford WPCF</t>
  </si>
  <si>
    <t>Newtown WPCF</t>
  </si>
  <si>
    <t>Pootatuck River (drains to Housatonic R.)</t>
  </si>
  <si>
    <t>Southbury Tr. School  WPCF</t>
  </si>
  <si>
    <t>Pomperaug River (drains to Housatonic R.)</t>
  </si>
  <si>
    <t>2N</t>
  </si>
  <si>
    <t xml:space="preserve">Naugatuck Treatment Co. </t>
  </si>
  <si>
    <t>Thomaston WPCF</t>
  </si>
  <si>
    <t>Torrington WPCF</t>
  </si>
  <si>
    <t>Naugatuck Unmonitored Indust. (P)</t>
  </si>
  <si>
    <t>Waterbury WPCF</t>
  </si>
  <si>
    <t>Watertown WPCF (Plant Closed)</t>
  </si>
  <si>
    <t>3H</t>
  </si>
  <si>
    <t>Litchfield WPCF</t>
  </si>
  <si>
    <t>Bantam River</t>
  </si>
  <si>
    <t>Norfolk WPCF</t>
  </si>
  <si>
    <t>Blackberry River</t>
  </si>
  <si>
    <t>North Canaan WPCF</t>
  </si>
  <si>
    <t>Salisbury WPCF</t>
  </si>
  <si>
    <t>Factory Brook</t>
  </si>
  <si>
    <t>North Castle WPCF</t>
  </si>
  <si>
    <t>Wampus River</t>
  </si>
  <si>
    <t>NOAA polygon area (m^2)</t>
  </si>
  <si>
    <t>Vegetation</t>
  </si>
  <si>
    <t>Light to Bottom</t>
  </si>
  <si>
    <t>Physical Dimensions</t>
  </si>
  <si>
    <t>Average Depth at mean water - MW (m)</t>
  </si>
  <si>
    <t>Area of Embayment (m^2) [Vaudrey, NLM]</t>
  </si>
  <si>
    <t>Tidal Amplitude (m) = MW - MLLW [O'Donnell]</t>
  </si>
  <si>
    <t>Tidal range (m) = MHHW - MLLW [O'Donnell]</t>
  </si>
  <si>
    <t>Shallow subsection or full area (m^2)</t>
  </si>
  <si>
    <t>Depth difference (m)</t>
  </si>
  <si>
    <t>Rounded Depth difference (m)</t>
  </si>
  <si>
    <t>Area per bin (m2)</t>
  </si>
  <si>
    <t>check</t>
  </si>
  <si>
    <t>Median Depth at mean water - MW (m)</t>
  </si>
  <si>
    <t>from MatLab</t>
  </si>
  <si>
    <t>Tidal Prism volume, P (m³)</t>
  </si>
  <si>
    <t>NOAA ENC data, percent cover (%)</t>
  </si>
  <si>
    <t>Max depth of shallow area at MLLW (m)</t>
  </si>
  <si>
    <t>Min depth of shallow area at MLLW (m)</t>
  </si>
  <si>
    <t>Min Depth of Shallow Areas at MW (m)</t>
  </si>
  <si>
    <t>Max depth of shallow area at MW (m)</t>
  </si>
  <si>
    <t>Volume at MLLW, V (m³)</t>
  </si>
  <si>
    <t>Area of Seagrass Beds, 2017 (acres)</t>
  </si>
  <si>
    <t>Freshwater and Tidal Flow</t>
  </si>
  <si>
    <t xml:space="preserve">   &gt;-|</t>
  </si>
  <si>
    <t>&lt;---|</t>
  </si>
  <si>
    <t xml:space="preserve">   &gt;---|</t>
  </si>
  <si>
    <t>symbols indicate connections among subareas</t>
  </si>
  <si>
    <t>N/A</t>
  </si>
  <si>
    <t>Fraction of TN Load from Point Sources (%)</t>
  </si>
  <si>
    <t>Maximum Depth at mean water - MW (m)</t>
  </si>
  <si>
    <t>Potential for Eelgrass, based on depth &amp; estimated water clarity</t>
  </si>
  <si>
    <t>Little Narragansett Bay</t>
  </si>
  <si>
    <t>Wequetequock Cove</t>
  </si>
  <si>
    <t>Quanaduck Cove</t>
  </si>
  <si>
    <t>Stonington Harbor</t>
  </si>
  <si>
    <t>Quiambog Cove</t>
  </si>
  <si>
    <t>Wilcox Cove</t>
  </si>
  <si>
    <t>Williams Cove</t>
  </si>
  <si>
    <t>Bebee Cove</t>
  </si>
  <si>
    <t>West Cove</t>
  </si>
  <si>
    <t>Palmer Cove</t>
  </si>
  <si>
    <t>Venetian Harbor</t>
  </si>
  <si>
    <t>Poquonock River</t>
  </si>
  <si>
    <t>Baker Cove</t>
  </si>
  <si>
    <t>Alewife Cove</t>
  </si>
  <si>
    <t>Goshen Cove</t>
  </si>
  <si>
    <t>Jordan Cove</t>
  </si>
  <si>
    <t>Gardners Pond</t>
  </si>
  <si>
    <t>Niantic River</t>
  </si>
  <si>
    <t>Niantic Bay</t>
  </si>
  <si>
    <t>Pattagansett River</t>
  </si>
  <si>
    <t>Bride Brook</t>
  </si>
  <si>
    <t>Four Mile River</t>
  </si>
  <si>
    <t>Threemile River</t>
  </si>
  <si>
    <t>Black Hall River</t>
  </si>
  <si>
    <t>South Cove</t>
  </si>
  <si>
    <t>Indiantown Harbor</t>
  </si>
  <si>
    <t>Oyster River, Old Saybrook</t>
  </si>
  <si>
    <t>Hagar Creek</t>
  </si>
  <si>
    <t>Patchogue River</t>
  </si>
  <si>
    <t>Menunkesucket River</t>
  </si>
  <si>
    <t>Clinton Harbor</t>
  </si>
  <si>
    <t>Toms Creek</t>
  </si>
  <si>
    <t>Fence Creek</t>
  </si>
  <si>
    <t>Guilford Harbor</t>
  </si>
  <si>
    <t>Indian Cove</t>
  </si>
  <si>
    <t>Sachem Head Harbor</t>
  </si>
  <si>
    <t>Joshua Cove</t>
  </si>
  <si>
    <t>Island Bay</t>
  </si>
  <si>
    <t>Little Harbor</t>
  </si>
  <si>
    <t>Pages Cove</t>
  </si>
  <si>
    <t>Farm River</t>
  </si>
  <si>
    <t>Oyster River, Milford</t>
  </si>
  <si>
    <t>Calf Pen Meadow Creek</t>
  </si>
  <si>
    <t>Milford Harbor</t>
  </si>
  <si>
    <t>Lewis Gut</t>
  </si>
  <si>
    <t>Bridgeport Harbor</t>
  </si>
  <si>
    <t>Black Rock Harbor</t>
  </si>
  <si>
    <t>Ash Creek</t>
  </si>
  <si>
    <t>Pine Creek</t>
  </si>
  <si>
    <t>Mill River</t>
  </si>
  <si>
    <t>Sasco Brook</t>
  </si>
  <si>
    <t>Sherwood Millpond</t>
  </si>
  <si>
    <t>Compo Cove</t>
  </si>
  <si>
    <t>Cockenoe Harbor</t>
  </si>
  <si>
    <t>Sheffield Island Harbor</t>
  </si>
  <si>
    <t>Scotts Cove</t>
  </si>
  <si>
    <t>Gorham Pond</t>
  </si>
  <si>
    <t>Darien River</t>
  </si>
  <si>
    <t>Holly Pond</t>
  </si>
  <si>
    <t>Cove Harbor</t>
  </si>
  <si>
    <t>Wescott Cove</t>
  </si>
  <si>
    <t>Greenwich Cove</t>
  </si>
  <si>
    <t>Mianus River</t>
  </si>
  <si>
    <t>Indian Harbor</t>
  </si>
  <si>
    <t>Smith Cove</t>
  </si>
  <si>
    <t>Greenwich Harbor</t>
  </si>
  <si>
    <t>Captain Harbor</t>
  </si>
  <si>
    <t>Cedar Creek (Black Rock Harbor)</t>
  </si>
  <si>
    <t>Channel Sinuosity (unitless)</t>
  </si>
  <si>
    <t>Niantic River + Niantic Bay</t>
  </si>
  <si>
    <t>Lewis Gut + Bridgeport H. + Pequonnock R.</t>
  </si>
  <si>
    <t>Sherwood Millpond + Compo Cove</t>
  </si>
  <si>
    <t>Gorham Pond + Darien River</t>
  </si>
  <si>
    <t>Holly Pond + Cove Harbor</t>
  </si>
  <si>
    <t>82-83-84</t>
  </si>
  <si>
    <t>72-73</t>
  </si>
  <si>
    <t>70-71</t>
  </si>
  <si>
    <t>61-62</t>
  </si>
  <si>
    <t>53-54-55</t>
  </si>
  <si>
    <t>22-23</t>
  </si>
  <si>
    <t>Byram R. + Kirby P. + Playland L.</t>
  </si>
  <si>
    <t>low</t>
  </si>
  <si>
    <t>very low</t>
  </si>
  <si>
    <t>moderate</t>
  </si>
  <si>
    <t>high</t>
  </si>
  <si>
    <t>very high</t>
  </si>
  <si>
    <t>shallow</t>
  </si>
  <si>
    <t>deep</t>
  </si>
  <si>
    <t>Quanaduck C. + Stonington H.</t>
  </si>
  <si>
    <t xml:space="preserve"> 4-5</t>
  </si>
  <si>
    <t>tiny</t>
  </si>
  <si>
    <t>very small</t>
  </si>
  <si>
    <t>small</t>
  </si>
  <si>
    <t>large</t>
  </si>
  <si>
    <t>very large</t>
  </si>
  <si>
    <t>mid-size</t>
  </si>
  <si>
    <t>none</t>
  </si>
  <si>
    <t>head</t>
  </si>
  <si>
    <t>mid-estuary</t>
  </si>
  <si>
    <t>mouth</t>
  </si>
  <si>
    <t>multiple</t>
  </si>
  <si>
    <t>very deep</t>
  </si>
  <si>
    <t xml:space="preserve"> 8-9-10</t>
  </si>
  <si>
    <t>other %</t>
  </si>
  <si>
    <t>Summary for Categorization Choices (linked to columns to left)</t>
  </si>
  <si>
    <t>intermediate complexity hydrodynamics</t>
  </si>
  <si>
    <t>complex hydrodynamics</t>
  </si>
  <si>
    <t>Saugatuck River, North (fresh water)</t>
  </si>
  <si>
    <t>complex water quality</t>
  </si>
  <si>
    <t>intermediate or complex water quality</t>
  </si>
  <si>
    <t>intermediate complexity water quality</t>
  </si>
  <si>
    <t>simple complexity water quality</t>
  </si>
  <si>
    <t>simple complexity hydrodynamics</t>
  </si>
  <si>
    <t xml:space="preserve">Final Categorization
</t>
  </si>
  <si>
    <t>Mystic R. + Williams C. + Beebe C.</t>
  </si>
  <si>
    <t>Area of Embayment, A (m²)</t>
  </si>
  <si>
    <t>Total Watershed Area (m²)</t>
  </si>
  <si>
    <t>Freshwater Flux to Subareas (m³/d)</t>
  </si>
  <si>
    <t>Total Freshwater Flux, R (m³/d); bold italics are sum of complex</t>
  </si>
  <si>
    <r>
      <t>Volume Exchange Rate, F</t>
    </r>
    <r>
      <rPr>
        <vertAlign val="subscript"/>
        <sz val="9"/>
        <color theme="1"/>
        <rFont val="Calibri"/>
        <family val="2"/>
        <scheme val="minor"/>
      </rPr>
      <t>p</t>
    </r>
    <r>
      <rPr>
        <sz val="9"/>
        <color theme="1"/>
        <rFont val="Calibri"/>
        <family val="2"/>
        <scheme val="minor"/>
      </rPr>
      <t xml:space="preserve"> (m³/d)</t>
    </r>
  </si>
  <si>
    <r>
      <t>Tidal Flushing Time, T</t>
    </r>
    <r>
      <rPr>
        <vertAlign val="subscript"/>
        <sz val="9"/>
        <color theme="1"/>
        <rFont val="Calibri"/>
        <family val="2"/>
        <scheme val="minor"/>
      </rPr>
      <t>T</t>
    </r>
    <r>
      <rPr>
        <sz val="9"/>
        <color theme="1"/>
        <rFont val="Calibri"/>
        <family val="2"/>
        <scheme val="minor"/>
      </rPr>
      <t xml:space="preserve"> (d)</t>
    </r>
  </si>
  <si>
    <r>
      <t>Freshwater Flushing Time, T</t>
    </r>
    <r>
      <rPr>
        <vertAlign val="subscript"/>
        <sz val="9"/>
        <color theme="1"/>
        <rFont val="Calibri"/>
        <family val="2"/>
        <scheme val="minor"/>
      </rPr>
      <t>R</t>
    </r>
    <r>
      <rPr>
        <sz val="9"/>
        <color theme="1"/>
        <rFont val="Calibri"/>
        <family val="2"/>
        <scheme val="minor"/>
      </rPr>
      <t xml:space="preserve"> (d)</t>
    </r>
  </si>
  <si>
    <r>
      <t xml:space="preserve">409135
</t>
    </r>
    <r>
      <rPr>
        <sz val="8"/>
        <color theme="1"/>
        <rFont val="Calibri"/>
        <family val="2"/>
        <scheme val="minor"/>
      </rPr>
      <t>(incl. 30% of PR, 100% of WC, 100% of LNB)</t>
    </r>
  </si>
  <si>
    <t>Fraction of benthic area receiving more than 1% of surface light. (%)</t>
  </si>
  <si>
    <t>Fraction of benthic area receiving more than 15% of surface light. (%)</t>
  </si>
  <si>
    <t>Fraction of benthic area receiving more than 22% of surface light. (%)</t>
  </si>
  <si>
    <t>EmbNameNoPointSource</t>
  </si>
  <si>
    <t>EmbNoPointSource</t>
  </si>
  <si>
    <t>[name]</t>
  </si>
  <si>
    <t>[ID#]</t>
  </si>
  <si>
    <t>[Salinity Dilution Ratio, R/Fp (unitless)]</t>
  </si>
  <si>
    <t>[Diluted Terrigenous Nitrogen (mg/L)]</t>
  </si>
  <si>
    <t>[Fraction of TN Load from Point Sources (%)]</t>
  </si>
  <si>
    <t>[Watershed - Embayment Adjusted Nitrogen Enrichment Factor (WEANE Factor) (unitless)]</t>
  </si>
  <si>
    <t>EmbNameWithPointSource</t>
  </si>
  <si>
    <t>EmbWithPointSource</t>
  </si>
  <si>
    <t>&gt;&gt; sort by DilRatioNum, small to large</t>
  </si>
  <si>
    <t>DilRatioName</t>
  </si>
  <si>
    <t>DilRatioNum</t>
  </si>
  <si>
    <t>with pt source</t>
  </si>
  <si>
    <t>no pt source</t>
  </si>
  <si>
    <t>original orde rin MatLab - delete these columns once sure all is working</t>
  </si>
  <si>
    <t>&gt;&gt; sort by Fraction of TN Load form Point Sources, low to high</t>
  </si>
  <si>
    <t>n</t>
  </si>
  <si>
    <t>p</t>
  </si>
  <si>
    <t>y</t>
  </si>
  <si>
    <t>196*</t>
  </si>
  <si>
    <t>Sewer
Septic
Fertilizer
AD-watershed
AD-embayment</t>
  </si>
  <si>
    <t>fraction due to source</t>
  </si>
  <si>
    <r>
      <t>Freshwater Flux to Subareas (m</t>
    </r>
    <r>
      <rPr>
        <b/>
        <sz val="11"/>
        <rFont val="Calibri"/>
        <family val="2"/>
      </rPr>
      <t>³</t>
    </r>
    <r>
      <rPr>
        <b/>
        <sz val="11"/>
        <rFont val="Calibri"/>
        <family val="2"/>
        <scheme val="minor"/>
      </rPr>
      <t>/d)</t>
    </r>
  </si>
  <si>
    <r>
      <t>Total Freshwater Flux, R (m</t>
    </r>
    <r>
      <rPr>
        <b/>
        <sz val="11"/>
        <rFont val="Calibri"/>
        <family val="2"/>
      </rPr>
      <t>³</t>
    </r>
    <r>
      <rPr>
        <b/>
        <sz val="11"/>
        <rFont val="Calibri"/>
        <family val="2"/>
        <scheme val="minor"/>
      </rPr>
      <t>/d); bold italics are sum of complex</t>
    </r>
  </si>
  <si>
    <r>
      <t>Tidal Flushing Time, T</t>
    </r>
    <r>
      <rPr>
        <b/>
        <vertAlign val="subscript"/>
        <sz val="11"/>
        <rFont val="Calibri"/>
        <family val="2"/>
        <scheme val="minor"/>
      </rPr>
      <t>T</t>
    </r>
    <r>
      <rPr>
        <b/>
        <sz val="11"/>
        <rFont val="Calibri"/>
        <family val="2"/>
        <scheme val="minor"/>
      </rPr>
      <t xml:space="preserve"> (d)</t>
    </r>
  </si>
  <si>
    <r>
      <t>Freshwater Flushing Time, T</t>
    </r>
    <r>
      <rPr>
        <b/>
        <vertAlign val="subscript"/>
        <sz val="11"/>
        <rFont val="Calibri"/>
        <family val="2"/>
        <scheme val="minor"/>
      </rPr>
      <t>R</t>
    </r>
    <r>
      <rPr>
        <b/>
        <sz val="11"/>
        <rFont val="Calibri"/>
        <family val="2"/>
        <scheme val="minor"/>
      </rPr>
      <t xml:space="preserve"> (d)</t>
    </r>
  </si>
  <si>
    <r>
      <t xml:space="preserve">Diluted Terrigenous Nitrogen, </t>
    </r>
    <r>
      <rPr>
        <b/>
        <sz val="11"/>
        <rFont val="Calibri"/>
        <family val="2"/>
      </rPr>
      <t>δC</t>
    </r>
    <r>
      <rPr>
        <b/>
        <sz val="9.35"/>
        <rFont val="Calibri"/>
        <family val="2"/>
      </rPr>
      <t xml:space="preserve">L = </t>
    </r>
    <r>
      <rPr>
        <b/>
        <sz val="11"/>
        <rFont val="Calibri"/>
        <family val="2"/>
        <scheme val="minor"/>
      </rPr>
      <t>N/(Fp+R) (mg/L)</t>
    </r>
  </si>
  <si>
    <r>
      <t>30% light level</t>
    </r>
    <r>
      <rPr>
        <b/>
        <sz val="12"/>
        <rFont val="Calibri"/>
        <family val="2"/>
        <scheme val="minor"/>
      </rPr>
      <t xml:space="preserve">
</t>
    </r>
    <r>
      <rPr>
        <b/>
        <sz val="10"/>
        <rFont val="Calibri"/>
        <family val="2"/>
        <scheme val="minor"/>
      </rPr>
      <t>= Secchi depth (m); bold = measured, remainder are estimated</t>
    </r>
  </si>
  <si>
    <r>
      <t>Watershed Area (m</t>
    </r>
    <r>
      <rPr>
        <b/>
        <sz val="9"/>
        <rFont val="Calibri"/>
        <family val="2"/>
      </rPr>
      <t>²</t>
    </r>
    <r>
      <rPr>
        <b/>
        <sz val="7.65"/>
        <rFont val="Calibri"/>
        <family val="2"/>
      </rPr>
      <t>)</t>
    </r>
  </si>
  <si>
    <r>
      <t>Area of Seagrass Beds, 2017 (m</t>
    </r>
    <r>
      <rPr>
        <b/>
        <sz val="11"/>
        <rFont val="Calibri"/>
        <family val="2"/>
      </rPr>
      <t>²</t>
    </r>
    <r>
      <rPr>
        <b/>
        <sz val="11"/>
        <rFont val="Calibri"/>
        <family val="2"/>
        <scheme val="minor"/>
      </rPr>
      <t>)</t>
    </r>
  </si>
  <si>
    <t>2, 3</t>
  </si>
  <si>
    <t>3, 4</t>
  </si>
  <si>
    <t>Abdelrhman, M.A., 2005. Simplified modeling of flushing and residence times in 42 embayments in New England, USA, with special attention to Greenwich Bay, Rhode Island Estuarine, Coastal and Shelf Science 62, 339-351.</t>
  </si>
  <si>
    <t>3, 6</t>
  </si>
  <si>
    <t>3, 8, 9</t>
  </si>
  <si>
    <t>3, 10</t>
  </si>
  <si>
    <t>M. Paul, Tetra Tech, personal communication, 5-29-2019; Secchi:Kd relationship in Long Island Sound</t>
  </si>
  <si>
    <t>Bradley, M., Paton, S., 2018. Tier 1 2017 mapping of Zostera marina in Long Island Sound and change analysis. University of Rhode Island, U.S. Fish and Wildlife Service, USGS, p. 19.</t>
  </si>
  <si>
    <t>3, 11, 12</t>
  </si>
  <si>
    <r>
      <t>Area of Embayment, A (m</t>
    </r>
    <r>
      <rPr>
        <b/>
        <sz val="11"/>
        <rFont val="Calibri"/>
        <family val="2"/>
      </rPr>
      <t>²</t>
    </r>
    <r>
      <rPr>
        <b/>
        <sz val="11"/>
        <rFont val="Calibri"/>
        <family val="2"/>
        <scheme val="minor"/>
      </rPr>
      <t>)</t>
    </r>
  </si>
  <si>
    <t>Length of Embayment (m)</t>
  </si>
  <si>
    <t>Average Width of Embayment (m)</t>
  </si>
  <si>
    <t>Tidal range (m) = MHHW - MLLW</t>
  </si>
  <si>
    <t>Tidal Amplitude (m) = MW - MLLW</t>
  </si>
  <si>
    <r>
      <t>Volume Exchange Rate, F</t>
    </r>
    <r>
      <rPr>
        <b/>
        <vertAlign val="subscript"/>
        <sz val="11"/>
        <rFont val="Calibri"/>
        <family val="2"/>
        <scheme val="minor"/>
      </rPr>
      <t>p</t>
    </r>
    <r>
      <rPr>
        <b/>
        <sz val="11"/>
        <rFont val="Calibri"/>
        <family val="2"/>
        <scheme val="minor"/>
      </rPr>
      <t xml:space="preserve"> (m</t>
    </r>
    <r>
      <rPr>
        <b/>
        <sz val="11"/>
        <rFont val="Calibri"/>
        <family val="2"/>
      </rPr>
      <t>³/d)</t>
    </r>
  </si>
  <si>
    <r>
      <t>Area of Salt Marshes (m</t>
    </r>
    <r>
      <rPr>
        <b/>
        <sz val="11"/>
        <rFont val="Calibri"/>
        <family val="2"/>
      </rPr>
      <t>²</t>
    </r>
    <r>
      <rPr>
        <b/>
        <sz val="11"/>
        <rFont val="Calibri"/>
        <family val="2"/>
        <scheme val="minor"/>
      </rPr>
      <t>)</t>
    </r>
  </si>
  <si>
    <t>Seagrass Verified by Field Visit to all of Embayment Beds: (y)es, (n)o, (p)artial, (a)dded, blank indicates survey did not cover that area</t>
  </si>
  <si>
    <t>Area of Embayment (ha)</t>
  </si>
  <si>
    <r>
      <t>Abdelrhman (2005) - Freshwater Flushing Time, T</t>
    </r>
    <r>
      <rPr>
        <b/>
        <vertAlign val="subscript"/>
        <sz val="11"/>
        <rFont val="Calibri"/>
        <family val="2"/>
        <scheme val="minor"/>
      </rPr>
      <t>f</t>
    </r>
    <r>
      <rPr>
        <b/>
        <sz val="11"/>
        <rFont val="Calibri"/>
        <family val="2"/>
        <scheme val="minor"/>
      </rPr>
      <t xml:space="preserve"> (d)</t>
    </r>
  </si>
  <si>
    <r>
      <t>Abdelrhman (2005) - Maximum Local Residence Time, LRT</t>
    </r>
    <r>
      <rPr>
        <b/>
        <vertAlign val="subscript"/>
        <sz val="11"/>
        <rFont val="Calibri"/>
        <family val="2"/>
        <scheme val="minor"/>
      </rPr>
      <t>max</t>
    </r>
    <r>
      <rPr>
        <b/>
        <sz val="11"/>
        <rFont val="Calibri"/>
        <family val="2"/>
        <scheme val="minor"/>
      </rPr>
      <t xml:space="preserve"> (d)</t>
    </r>
  </si>
  <si>
    <t>Plew, D., Zeldis, J., Shankar, U., Elliott, A., 2018. Using simple dilution models to predict New Zealand estuarine water quality. Estuaries and Coasts 41, 1643-1659.</t>
  </si>
  <si>
    <t xml:space="preserve">Vaudrey, J.M.P., Yarish, C., Kim, J.K., Pickerell, C.H., Brousseau, L., Eddings, J., Sautkulis, M., 2016. Long Island Sound Nitrogen Loading Model, v.2017. University of Connecticut, Groton, CT. jamie.vaudrey@uconn.edu. GIS layers available at: https://vaudrey.lab.uconn.edu/embayment-n-load/ </t>
  </si>
  <si>
    <t>Vaudrey, J.M.P., Krumholz, J., Linderoth, P., 2021. Unified Water Study Embayment Report Card Development. report to Save the Sound, Long Island Sound Funder’s Collaborative, and the Long Island Sound Study. 130p.</t>
  </si>
  <si>
    <t>Vaudrey, J.M.P., unpublished data. jamie.vaudrey@uconn.edu, Department of Marine Sciences, University of Connecticut</t>
  </si>
  <si>
    <t>Plew et al. (2018) - Freshwater Dominated (unitless), 
= Qf*T/P (&gt;0.25 = stratified)</t>
  </si>
  <si>
    <t>Bradford Printing and Finishing (now closed)</t>
  </si>
  <si>
    <t>Nitrogen Load</t>
  </si>
  <si>
    <t>3, 4; see "Shall Distrib..." worksheet</t>
  </si>
  <si>
    <t>Works Cited</t>
  </si>
  <si>
    <r>
      <t xml:space="preserve">Source of Data (see works cited sheet) </t>
    </r>
    <r>
      <rPr>
        <b/>
        <sz val="11"/>
        <rFont val="Wingdings"/>
        <charset val="2"/>
      </rPr>
      <t>à</t>
    </r>
  </si>
  <si>
    <t>ID</t>
  </si>
  <si>
    <r>
      <t xml:space="preserve">Initial Hydrodynamic Categorization Based on </t>
    </r>
    <r>
      <rPr>
        <b/>
        <i/>
        <sz val="11"/>
        <rFont val="Calibri"/>
        <family val="2"/>
        <scheme val="minor"/>
      </rPr>
      <t>Salinity Dilution Ratio</t>
    </r>
  </si>
  <si>
    <r>
      <t xml:space="preserve">Water Quality Categorization based on </t>
    </r>
    <r>
      <rPr>
        <b/>
        <i/>
        <sz val="11"/>
        <rFont val="Calibri"/>
        <family val="2"/>
        <scheme val="minor"/>
      </rPr>
      <t>Watershed-Embayment Adjusted Nitrogen Enrichment Factor</t>
    </r>
  </si>
  <si>
    <t>Level of Tidal Restrictions</t>
  </si>
  <si>
    <t>Embayment Size Categorization</t>
  </si>
  <si>
    <t>Sinuosity Categorization</t>
  </si>
  <si>
    <t>Max Depth Categorization</t>
  </si>
  <si>
    <t>Cutpoint Tables</t>
  </si>
  <si>
    <t xml:space="preserve">These tables describe the cutpoints and category names for each indicator. </t>
  </si>
  <si>
    <t>These cutpoints are applied in the categorization decision chain, in the following columns to the right. Scroll down for additional tables.</t>
  </si>
  <si>
    <t>Categorization Decision Chain</t>
  </si>
  <si>
    <t>grey areas = 
cells with formulas
green text = 
subembayments in a complex</t>
  </si>
  <si>
    <t>simple</t>
  </si>
  <si>
    <t>intermediate</t>
  </si>
  <si>
    <t>complex</t>
  </si>
  <si>
    <t>hydro weighting factor</t>
  </si>
  <si>
    <t>WQ weighting factor</t>
  </si>
  <si>
    <t>Final Hydrodynamic Categorization</t>
  </si>
  <si>
    <t>Final Water Quality Categorization</t>
  </si>
  <si>
    <t>Small, shallow, WEANE Factor is in the intermediate range. Based on depth, intermediate hydrodynamics categorization is recommended over complex.</t>
  </si>
  <si>
    <t>Tiny, shallow, WEANE Factor is intermediate, very low sinuosity. Simple hydrodynamics categorization is recommended over intermediate.</t>
  </si>
  <si>
    <t>Tiny, shallow, WEANE Factor is in the intermediate/complex range. Based on depth and size, intermediate hydrodynamics categorization is recommended over complex.</t>
  </si>
  <si>
    <t>Mid-size, shallow, WEANE Factor is in the intermediate range. Based on depth, intermediate hydrodynamics categorization is recommended over complex.</t>
  </si>
  <si>
    <t>Mid-size but shallow with multiple restrictions. Intermediate WEANE Factor. Based on depth and WEANE Factor, intermediate hydrodynamics categorization is recommended over complex.</t>
  </si>
  <si>
    <t>Deep and large with an intermediate WEANE Factor. Based on depth and size, complex hydrodynamics categorization recommended over intermediate.</t>
  </si>
  <si>
    <t>Very small and shallow with a very low WEANE Factor, but high salinity dilution ratio and high sinuosity may mean that the inner area is different from the outer area. Based on depth and size, intermediate hydrodynamics categorization is recommended over complex.</t>
  </si>
  <si>
    <t>Intermediate WEANE Factor, small size, and shallow depth suggest an intermediate hydrodynamics categorization is likely more appropriate than complex hydrodynamics.</t>
  </si>
  <si>
    <t>Tiny and shallow, but with a high salinity dilution ratio and a moderate sinuosity. The WEANE Factor is on the lower end of the intermediate category. Based on depth and size, intermediate hydrodynamics categorization is recommended over complex.</t>
  </si>
  <si>
    <t>Very small and shallow, but with a high salinity dilution ratio and a very high sinuosity. The WEANE Factor is intermediate. Based on depth and size, intermediate hydrodynamics categorization is recommended over complex.</t>
  </si>
  <si>
    <t>Tiny and shallow with a high salinity dilution ratio but a low sinuosity. The WEANE Factor is in the intermediate/complex range. Based on size and depth, intermediate hydrodynamics categorization is recommended over complex hydrodynamics.</t>
  </si>
  <si>
    <t>Tiny and shallow with a high salinity dilution ratio but a low sinuosity. The WEANE Factor is intermediate/complex. Based on depth and size, intermediate hydrodynamics categorization is recommended over complex.</t>
  </si>
  <si>
    <t>Mid-size and moderate depth with a low salinity dilution ratio and low sinuosity. The WEANE Factor is at the higher end of the intermediate range. Given the size and potential for nutrient gradients, an intermediate hydrodynamics categorization is recommended over simple hydrodynamics.</t>
  </si>
  <si>
    <t>Large and deep with a high WEANE Factor. Based on depth, complex hydrodynamics categorization is recommended over intermediate.</t>
  </si>
  <si>
    <t>Tiny and shallow with a high salinity dilution ratio and a very high sinuosity. The WEANE Factor is moderately high. Based on depth, intermediate hydrodynamics categorization is recommended over complex.</t>
  </si>
  <si>
    <t>Small and shallow but has a high WEANE Factor and a point source with a high salinity dilution ratio. Intermediate hydrodynamics categorization is recommended over complex, but check salinity to see if complex hydrodynamics is necessary for modeling.</t>
  </si>
  <si>
    <t>Small and shallow with a high salinity dilution ratio and moderate sinuosity. The WEANE Factor is moderately low. Based on depth, intermediate hydrodynamics categorization is recommended over complex.</t>
  </si>
  <si>
    <t>Tiny and shallow with a high salinity dilution ratio and high sinuosity. The WEANE Factor is moderately low. Based on depth, intermediate hydrodynamics categorization is recommended over complex.</t>
  </si>
  <si>
    <t>Moderate depth and size with a high WEANE Factor may indicate more complex nutrient gradients. Complex hydrodynamics categorization is recommended over intermediate, though this embayment could potentially be modeled with an intermediate complexity hydrodynamics model.</t>
  </si>
  <si>
    <t>Shallow with a low salinity dilution ratio, but the embayment is mid-size and the WEANE Factor is very high. An intermediate complexity hydrodynamics categorization is likely necessary to accurately represent the nutrient gradients, rather than simple. Given the low salinity dilution ratio and shallow depth, intermediate complexity water quality categorization is recommended over complex.</t>
  </si>
  <si>
    <t>While the size is very small and sinuosity is very low, depth is moderate and the WEANE Factor is high. Given the potential for nutrient gradients, an intermediate hydrodynamics categorization is recommended over simple. Given the low salinity dilution ratio and very small size, intermediate complexity water quality categorization is recommended over complex.</t>
  </si>
  <si>
    <t>Mid-size and deep, suggesting the system is more hydrodynamically complex than the small freshwater inflow would suggest - check salinity to see if vertical structure exists. Complex hydrodynamics categorization is recommended over intermediate. Given the depth and size, complex water quality categorization is recommended over intermediate.</t>
  </si>
  <si>
    <t>Shallow depth, very small size, and very low sinuosity. Salinity dilution ratio is intermediate. WEANE Factor is at the very lower end of the complex range. Based on depth and WEANE Factor, intermediate complexity water quality categorization is recommended over complex.</t>
  </si>
  <si>
    <t>Shallow depth, mid-size, and moderate sinuosity. Salinity dilution ratio is intermediate. WEANE Factor is at the very lower end of the complex range. Based on depth and WEANE Factor, intermediate complexity water quality categorization is recommended over complex.</t>
  </si>
  <si>
    <t>Shallow depth, mid-size, and moderate sinuosity. Salinity dilution ratio is intermediate. WEANE Factor is at the lower end of the complex range. Based on depth and WEANE Factor, intermediate complexity water quality categorization is recommended over complex.</t>
  </si>
  <si>
    <t>Mid-size, moderate depth, low salinity dilution ratio, and very low sinuosity. But WEANE Factor is high and may create gradients that are not well-predicted by salinity differences. Intermediate hydrodynamics categorization is recommended over simple. Given the depth and low salinity dilution ratio, intermediate water quality categorization is recommended over complex.</t>
  </si>
  <si>
    <t>Observations on reasons for changes to categorizations based on ancillary data.</t>
  </si>
  <si>
    <t>Tiny and shallow with a lower to mid-level salinity dilution ratio and low sinuosity. The WEANE Factor is intermediate. Based on depth and size, simple hydrodynamics categorization is recommended over intermediate.</t>
  </si>
  <si>
    <t>Very small and shallow with a very low WEANE Factor and low sinuosity, even though the salinity dilution ratio is high. Intermediate hydrodynamics categorization is recommended over complex, but check salinity to see if there is any structure that warrants complex hydrodynamics categorization when modeling.</t>
  </si>
  <si>
    <t>Shallow, very small, and no tidal restrictions to flow; but with high sinuosity. The salinity dilution ratio is intermediate and the WEANE Factor is at the very low end of the complex range. Given the depth, intermediate complexity water quality categorization is recommended over complex.</t>
  </si>
  <si>
    <t>Small and shallow, but with a high salinity dilution ratio and a very high sinuosity. The WEANE Factor is on the lower end of intermediate. Based on depth and WEANE Factor, intermediate hydrodynamics categorization is recommended over complex.</t>
  </si>
  <si>
    <t>While the salinity dilution ratio is low and the depth is shallow, the size is small (not tiny or very small) and the WEANE Factor is in the intermediate/complex range. Nutrient gradients may exist in the absence of salinity gradients, thus intermediate hydrodynamics categorization is recommended over simple.</t>
  </si>
  <si>
    <t>Mid-size, deep areas, moderate sinuosity, higher WEANE Factor and a point source. Given the depth and size, complex hydrodynamics categorization is recommended over intermediate. Given the depth and size, complex water quality categorization is recommended over intermediate.</t>
  </si>
  <si>
    <t>Even though the salinity dilution ratio is low, the site is mid-size with deep areas. The WEANE Factor is extremely high and likely to create gradients, even if salinity looks similar among areas and in the vertical. Intermediate hydrodynamics categorization is recommended over simple.</t>
  </si>
  <si>
    <t>Even though the salinity dilution ratio is low, the site is small with moderate depth. The WEANE Factor is high and nutrient gradients are likely even in the absence of salinity gradients. Intermediate hydrodynamics categorization is recommended over simple. Given the low salinity dilution ratio and moderate depth, intermediate water quality categorization is recommended over complex.</t>
  </si>
  <si>
    <t>Mid-size, deep, very low sinuosity, high WEANE Factor and a point source. Complex hydrodynamics categorization is recommended over intermediate.</t>
  </si>
  <si>
    <t>Very small and shallow, with a moderately low WEANE Factor. Based on depth, intermediate hydrodynamics categorization is recommended over complex.</t>
  </si>
  <si>
    <t>Mid-size and moderate depth, with a high WEANE Factor. Based on depth, size of system, and WEANE Factor, intermediate hydrodynamics categorization is recommended over simple. Given the low salinity dilution ratio and moderate depth, intermediate water quality categorization is recommended over complex.</t>
  </si>
  <si>
    <t>Very small and shallow. A high WEANE Factor indicates that nutrient gradients may exist in the absence of salinity gradients. Based on WEANE Factor, intermediate hydrodynamics categorization is recommended over simple. Given the very small size and shallow depth, intermediate water quality categorization is recommended over complex.</t>
  </si>
  <si>
    <t>Very small and shallow with a high salinity dilution ratio and very high sinuosity. WEANE Factor is intermediate but has a point source; horizontal nutrient gradients are likely to be present even though the system is small. Based on depth, intermediate hydrodynamics categorization is recommended over complex.</t>
  </si>
  <si>
    <t>Small and shallow but with a WEANE Factor at the higher end of the intermediate/complex range. Gradients unrelated to salinity may develop. Based on  WEANE Factor, intermediate hydrodynamics categorization is recommended over simple.</t>
  </si>
  <si>
    <t>Embayment Name and ID#</t>
  </si>
  <si>
    <t>Tidal Restriction Indicator (0 = no, 1 = yes, in upper reach, 2 = yes, midway, 3 = yes, at mouth, 4 = multiple restrictions)</t>
  </si>
  <si>
    <t>Tidal Restriction Indicator (0 = no, 1 = yes, in upper reach, 2 = yes, midway, 3 = yes, at mouth, 4 = multiple restrictions; 1+# = debatable (10,11,12,13))</t>
  </si>
  <si>
    <t>Tidal Restriction Indicator*</t>
  </si>
  <si>
    <t>#</t>
  </si>
  <si>
    <t>ha</t>
  </si>
  <si>
    <t>unitless</t>
  </si>
  <si>
    <t>m</t>
  </si>
  <si>
    <t>%</t>
  </si>
  <si>
    <t>Area of Embayment</t>
  </si>
  <si>
    <t>Channel Sinuosity</t>
  </si>
  <si>
    <t>Average Depth at mean water</t>
  </si>
  <si>
    <t>Maximum Depth at mean water</t>
  </si>
  <si>
    <t>Salinity Dilution Ratio, R/Fp</t>
  </si>
  <si>
    <t>Watershed-Embayment Adjusted Nitrogen Enrichment Factor</t>
  </si>
  <si>
    <t>Fraction of TN Load from Point Sources</t>
  </si>
  <si>
    <t>Wastewater Treatment Plant [year completed N upgrade]</t>
  </si>
  <si>
    <t>Freshwater Fraction = Salinity Dilution Ratio, R/Fp (unitless)</t>
  </si>
  <si>
    <t>Area of Embayment (ha) [Vaudrey, NLM]</t>
  </si>
  <si>
    <t>Tidal Restriction Indicator</t>
  </si>
  <si>
    <t>Watershed - Embayment Adjusted Nitrogen Enrichment (mg/L)</t>
  </si>
  <si>
    <t>area indicator</t>
  </si>
  <si>
    <t>symbol WWTF</t>
  </si>
  <si>
    <t>sinuosity color</t>
  </si>
  <si>
    <t>VAR12</t>
  </si>
  <si>
    <t/>
  </si>
  <si>
    <t>Lookup ID</t>
  </si>
  <si>
    <t>ID# green = both, blue = right only</t>
  </si>
  <si>
    <t>Cutpoints for Max Depth at Mean Water (m)</t>
  </si>
  <si>
    <t>Cutpoints for Embayment Size (ha)</t>
  </si>
  <si>
    <t>Cutpoints for Sinuosity (unitless)</t>
  </si>
  <si>
    <t>Cutpoints for Tidal Restrictions (unitless)</t>
  </si>
  <si>
    <t>Embayment</t>
  </si>
  <si>
    <t>Hydrodynamics</t>
  </si>
  <si>
    <t>Water Quality</t>
  </si>
  <si>
    <t>point source load</t>
  </si>
  <si>
    <t>Salinity Dilution Ratio (Freshwater Fraction), R/Fp (unitless)</t>
  </si>
  <si>
    <r>
      <t>Watershed-Embayment Adjusted Nitrogen Enrichment Factor, F</t>
    </r>
    <r>
      <rPr>
        <b/>
        <vertAlign val="subscript"/>
        <sz val="11"/>
        <rFont val="Calibri"/>
        <family val="2"/>
        <scheme val="minor"/>
      </rPr>
      <t>E</t>
    </r>
    <r>
      <rPr>
        <b/>
        <sz val="11"/>
        <rFont val="Calibri"/>
        <family val="2"/>
        <scheme val="minor"/>
      </rPr>
      <t xml:space="preserve"> = δCL/(0.3R/F</t>
    </r>
    <r>
      <rPr>
        <b/>
        <vertAlign val="subscript"/>
        <sz val="11"/>
        <rFont val="Calibri"/>
        <family val="2"/>
        <scheme val="minor"/>
      </rPr>
      <t>P</t>
    </r>
    <r>
      <rPr>
        <b/>
        <sz val="11"/>
        <rFont val="Calibri"/>
        <family val="2"/>
        <scheme val="minor"/>
      </rPr>
      <t>) (unitless)</t>
    </r>
  </si>
  <si>
    <t>Plew et al. (2018) - Depth Indicator (unitless), P/V</t>
  </si>
  <si>
    <t>1-2-3</t>
  </si>
  <si>
    <t>Little Narragansett B. + Wequetequock C. + Pawcatuck R. (30%)</t>
  </si>
  <si>
    <r>
      <t xml:space="preserve">Cutpoints for Initial Hydrodynamic Categorization Based on </t>
    </r>
    <r>
      <rPr>
        <b/>
        <i/>
        <sz val="11"/>
        <rFont val="Calibri"/>
        <family val="2"/>
        <scheme val="minor"/>
      </rPr>
      <t xml:space="preserve">Salinity Dilution Ratio </t>
    </r>
    <r>
      <rPr>
        <b/>
        <sz val="11"/>
        <rFont val="Calibri"/>
        <family val="2"/>
        <scheme val="minor"/>
      </rPr>
      <t>(unitless)</t>
    </r>
  </si>
  <si>
    <r>
      <t xml:space="preserve">Cutpoints for Water Quality Categorization based on </t>
    </r>
    <r>
      <rPr>
        <b/>
        <i/>
        <sz val="11"/>
        <rFont val="Calibri"/>
        <family val="2"/>
        <scheme val="minor"/>
      </rPr>
      <t xml:space="preserve">Watershed-Embayment Adjusted Nitrogen Enrichment Factor </t>
    </r>
    <r>
      <rPr>
        <b/>
        <sz val="11"/>
        <rFont val="Calibri"/>
        <family val="2"/>
        <scheme val="minor"/>
      </rPr>
      <t>(unitless)</t>
    </r>
  </si>
  <si>
    <t>3,7</t>
  </si>
  <si>
    <t>CTDEEP. 2020. Secchi data from 2015 to 2019; available upon request to CT DEEP.</t>
  </si>
  <si>
    <t>Office of Coast Survey, 2021. NOAA Electronic Navigational Charts (ENC), https://nauticalcharts.noaa.gov/charts/noaa-enc.html.</t>
  </si>
  <si>
    <t>3,4</t>
  </si>
  <si>
    <t>Total N Load from Sewer/WWTPs (avg. from 2011-2014), to subareas or complexes
(kg / y)</t>
  </si>
  <si>
    <t>Total N Load from Sewer/WWTPs (avg. from 2017-2019), to subareas or complexes
(kg / y)</t>
  </si>
  <si>
    <t>Total N Load from Septic, to subareas or complexes
 (kg / y)</t>
  </si>
  <si>
    <t>Total N Load from Fertilizer, to subareas or complexes
(kg / y)</t>
  </si>
  <si>
    <t>Total N Load from Atmospheric Deposition to Watershed, to subareas or complexes
(kg / y)</t>
  </si>
  <si>
    <t>Total N Load from Atmospheric Deposition to Embayment, to subareas or complexes 
(kg / y)</t>
  </si>
  <si>
    <t>Total N Load (2017-19) (kg / y), bold italics indicates sum of all areas providing input</t>
  </si>
  <si>
    <r>
      <t>Total N Load (2017-19), to subareas or complexes (kg / ha</t>
    </r>
    <r>
      <rPr>
        <b/>
        <vertAlign val="subscript"/>
        <sz val="9"/>
        <rFont val="Calibri"/>
        <family val="2"/>
        <scheme val="minor"/>
      </rPr>
      <t>est</t>
    </r>
    <r>
      <rPr>
        <b/>
        <sz val="9"/>
        <rFont val="Calibri"/>
        <family val="2"/>
        <scheme val="minor"/>
      </rPr>
      <t xml:space="preserve"> / y)</t>
    </r>
  </si>
  <si>
    <r>
      <t>Total N Load (2017-19) (kg / ha</t>
    </r>
    <r>
      <rPr>
        <b/>
        <vertAlign val="subscript"/>
        <sz val="9"/>
        <rFont val="Calibri"/>
        <family val="2"/>
        <scheme val="minor"/>
      </rPr>
      <t>est</t>
    </r>
    <r>
      <rPr>
        <b/>
        <sz val="9"/>
        <rFont val="Calibri"/>
        <family val="2"/>
        <scheme val="minor"/>
      </rPr>
      <t xml:space="preserve"> / y</t>
    </r>
    <r>
      <rPr>
        <b/>
        <sz val="9"/>
        <rFont val="Calibri"/>
        <family val="2"/>
        <scheme val="minor"/>
      </rPr>
      <t>), bold italics indicates sum of all areas providing input</t>
    </r>
  </si>
  <si>
    <t>Total N Load (2011-14), to subareas or complexes
(kg / y)</t>
  </si>
  <si>
    <t>Total N Load (2017-19), to subareas or complexes 
(kg / y)</t>
  </si>
  <si>
    <t>1,3</t>
  </si>
  <si>
    <r>
      <t xml:space="preserve">grey areas = 
cells with formulas
</t>
    </r>
    <r>
      <rPr>
        <b/>
        <sz val="14"/>
        <color rgb="FF00B050"/>
        <rFont val="Calibri"/>
        <family val="2"/>
        <scheme val="minor"/>
      </rPr>
      <t>green text = 
subembayments in a complex</t>
    </r>
  </si>
  <si>
    <t>a, present in 2021 and likely in 2017, but not identified in 2017 aerial survey</t>
  </si>
  <si>
    <t>a, present in 2019 and likely in 2017, but not identified in 2017 aerial survey</t>
  </si>
  <si>
    <t>Average Depth at MW</t>
  </si>
  <si>
    <t>Median Depth at MW</t>
  </si>
  <si>
    <t>Maximum Depth at MW</t>
  </si>
  <si>
    <t>Fraction of Embayment with NOAA ENC depth soundings</t>
  </si>
  <si>
    <t>Tidal Prism Volume</t>
  </si>
  <si>
    <t>Tidal Range (MHHW-MLLW)</t>
  </si>
  <si>
    <t>Restriction to Flow</t>
  </si>
  <si>
    <t>Total Freshwater Flux</t>
  </si>
  <si>
    <t>Freshwater Flushing Time</t>
  </si>
  <si>
    <t>Tidal Flushing Time</t>
  </si>
  <si>
    <t>Area of Salt Marshes</t>
  </si>
  <si>
    <t>Area of Seagrass Beds, 2017</t>
  </si>
  <si>
    <t>Area of Salt Marshes (acres)</t>
  </si>
  <si>
    <t>3; see "WWTP source data" worksheet</t>
  </si>
  <si>
    <t>Fraction of benthic area receiving more than 1% of surface light (%)</t>
  </si>
  <si>
    <t>Fraction of benthic area receiving more than 15% of surface light (%)</t>
  </si>
  <si>
    <t>Fraction of benthic area receiving more than 22% of surface light (%)</t>
  </si>
  <si>
    <t>Fraction of benthic area receiving more than 1% of surface light</t>
  </si>
  <si>
    <t>Fraction of benthic area receiving more than 15% of surface light</t>
  </si>
  <si>
    <t>Fraction of benthic area receiving more than 22% of surface light</t>
  </si>
  <si>
    <t>Total N Load (2017-19) from watershed</t>
  </si>
  <si>
    <t>Total N Load (2017-19) per embayment area</t>
  </si>
  <si>
    <t>Fraction from Point Sources</t>
  </si>
  <si>
    <t>Salinity Dilution Ratio (unitless)</t>
  </si>
  <si>
    <t>Watershed-Embayment Adjusted Nitrogen Enrichment Factor (unitless)</t>
  </si>
  <si>
    <t>WASP water quality model required, based on presence of point source load.</t>
  </si>
  <si>
    <t>Embayment Area (km^2)</t>
  </si>
  <si>
    <t>Watershed Area (Km^2)</t>
  </si>
  <si>
    <t>Embayment Length (km)</t>
  </si>
  <si>
    <t>Embayment, Average Width (m)</t>
  </si>
  <si>
    <t>Embayment Volume at MLLW</t>
  </si>
  <si>
    <t>Used for Copying into Separate Excel File for Mail Merge of Data into Appendix of Report</t>
  </si>
  <si>
    <t>Embayment Name</t>
  </si>
  <si>
    <t>Embayment ID</t>
  </si>
  <si>
    <t>Eelgrass Critical Depth</t>
  </si>
  <si>
    <t>Eelgrass Critical Depth, embayment needs a max depth at MW greater than this value for eelgrass success (m)</t>
  </si>
  <si>
    <t>Depth of the 1% light level</t>
  </si>
  <si>
    <t>Depth of the 15% light level</t>
  </si>
  <si>
    <t>Depth of the 22% light level</t>
  </si>
  <si>
    <t>Minimum Depth for Eelgrass at MW (m)</t>
  </si>
  <si>
    <t>Depth of 1% Light Level at MW (m)</t>
  </si>
  <si>
    <t>Depth of 15% Light Level at MW (m)</t>
  </si>
  <si>
    <t>Depth of 22% Light Level at MW (m)</t>
  </si>
  <si>
    <t>Analysis (as part of this project) of NOAA tide gage data from Long Island Sound: https://tidesandcurrents.noaa.gov/</t>
  </si>
  <si>
    <r>
      <t xml:space="preserve">Source of Data (see Works Cited worksheet in this Excel file) </t>
    </r>
    <r>
      <rPr>
        <b/>
        <sz val="14"/>
        <rFont val="Wingdings"/>
        <charset val="2"/>
      </rPr>
      <t>à</t>
    </r>
  </si>
  <si>
    <t>Mumford Cove</t>
  </si>
  <si>
    <t>Pawcatuck River, CT &amp; RI</t>
  </si>
  <si>
    <t>Willemin, J.H., 2000. Hack's Law: Sinuosity, convexity, elongation. Water resources research 36(11): 3365-3374. 10.1029/2000WR900229.</t>
  </si>
  <si>
    <t>Numerical Rank</t>
  </si>
  <si>
    <t>Hydrodynamic Categorization Indicator (Sum of: Numerical Ranks * Weighting Factor shown in Columns BW-CH)</t>
  </si>
  <si>
    <t>Water Quality Categorization Indicator (Sum of: Numerical Ranks * Weighting Factor shown in Columns BW-CH)</t>
  </si>
  <si>
    <t>Cutpoint Numerical Rank</t>
  </si>
  <si>
    <t>Cutpoints for Hydrodynamic Categorization Indicator (Numerical Ranks * Weighting Factor shown in Columns BV-CG)</t>
  </si>
  <si>
    <t>Cutpoints for Water Quality (WQ) Categorization Indicator (Numerical Ranks * Weighting Factor shown in Columns BV-CG)</t>
  </si>
  <si>
    <t>this project, RESPEC, 2022. Development of a Statewide Embayment Modeling Scheme for Connecticut: Final Report, prepared by RESPEC, Rapid City, SD, for the Connecticut Department of Energy and Environmental Protection, Hartford, CT.</t>
  </si>
  <si>
    <r>
      <rPr>
        <i/>
        <sz val="11"/>
        <color theme="1"/>
        <rFont val="Calibri"/>
        <family val="2"/>
        <scheme val="minor"/>
      </rPr>
      <t>Suggested Citation:</t>
    </r>
    <r>
      <rPr>
        <sz val="11"/>
        <color theme="1"/>
        <rFont val="Calibri"/>
        <family val="2"/>
        <scheme val="minor"/>
      </rPr>
      <t xml:space="preserve"> Vaudrey, J. M. P. and J. E. O'Donnell, 2022. Connecticut Embayment Characteristics 2022, Version 07 March 2022, prepared by Respec for Connecticut Department of Energy and Environmental Protection. [Data set, as Excel file]. Available from: https://opencommons.uconn.edu/</t>
    </r>
  </si>
  <si>
    <r>
      <rPr>
        <i/>
        <sz val="11"/>
        <color theme="1"/>
        <rFont val="Calibri"/>
        <family val="2"/>
        <scheme val="minor"/>
      </rPr>
      <t>Version:</t>
    </r>
    <r>
      <rPr>
        <sz val="11"/>
        <color theme="1"/>
        <rFont val="Calibri"/>
        <family val="2"/>
        <scheme val="minor"/>
      </rPr>
      <t xml:space="preserve"> March 7,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</si>
</sst>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00000"/>
    <numFmt numFmtId="165" formatCode="0.0"/>
    <numFmt numFmtId="166" formatCode="0.000"/>
    <numFmt numFmtId="167" formatCode="0.00000"/>
    <numFmt numFmtId="168" formatCode="0.0000"/>
  </numFmts>
  <fonts count="46" x14ac:knownFonts="1">
    <font>
      <sz val="11"/>
      <color theme="1"/>
      <name val="Calibri"/>
      <family val="2"/>
      <scheme val="minor"/>
    </font>
    <font>
      <sz val="9"/>
      <color indexed="81"/>
      <name val="Tahoma"/>
      <family val="2"/>
    </font>
    <font>
      <b/>
      <sz val="9"/>
      <color indexed="81"/>
      <name val="Tahoma"/>
      <family val="2"/>
    </font>
    <font>
      <sz val="9"/>
      <color theme="1"/>
      <name val="Calibri"/>
      <family val="2"/>
      <scheme val="minor"/>
    </font>
    <font>
      <sz val="11"/>
      <color rgb="FFFF0000"/>
      <name val="Calibri"/>
      <family val="2"/>
      <scheme val="minor"/>
    </font>
    <font>
      <sz val="11"/>
      <color theme="1"/>
      <name val="Calibri"/>
      <family val="2"/>
      <scheme val="minor"/>
    </font>
    <font>
      <b/>
      <i/>
      <sz val="11"/>
      <color theme="1"/>
      <name val="Calibri"/>
      <family val="2"/>
      <scheme val="minor"/>
    </font>
    <font>
      <b/>
      <i/>
      <sz val="11"/>
      <color rgb="FFFF0000"/>
      <name val="Calibri"/>
      <family val="2"/>
      <scheme val="minor"/>
    </font>
    <font>
      <sz val="10"/>
      <color theme="1"/>
      <name val="Calibri"/>
      <family val="2"/>
      <scheme val="minor"/>
    </font>
    <font>
      <sz val="10"/>
      <name val="Arial"/>
      <family val="2"/>
    </font>
    <font>
      <sz val="10"/>
      <name val="Calibri"/>
      <family val="2"/>
      <scheme val="minor"/>
    </font>
    <font>
      <b/>
      <sz val="10"/>
      <name val="Calibri"/>
      <family val="2"/>
      <scheme val="minor"/>
    </font>
    <font>
      <sz val="10"/>
      <color rgb="FFFF0000"/>
      <name val="Calibri"/>
      <family val="2"/>
      <scheme val="minor"/>
    </font>
    <font>
      <sz val="11"/>
      <name val="Calibri"/>
      <family val="2"/>
      <scheme val="minor"/>
    </font>
    <font>
      <b/>
      <sz val="10"/>
      <color theme="9" tint="-0.499984740745262"/>
      <name val="Calibri"/>
      <family val="2"/>
      <scheme val="minor"/>
    </font>
    <font>
      <sz val="10"/>
      <color theme="0"/>
      <name val="Calibri"/>
      <family val="2"/>
      <scheme val="minor"/>
    </font>
    <font>
      <b/>
      <sz val="8"/>
      <name val="Calibri"/>
      <family val="2"/>
      <scheme val="minor"/>
    </font>
    <font>
      <b/>
      <sz val="8"/>
      <color indexed="81"/>
      <name val="Tahoma"/>
      <family val="2"/>
    </font>
    <font>
      <sz val="8"/>
      <color indexed="81"/>
      <name val="Tahoma"/>
      <family val="2"/>
    </font>
    <font>
      <b/>
      <sz val="10"/>
      <color indexed="81"/>
      <name val="Tahoma"/>
      <family val="2"/>
    </font>
    <font>
      <sz val="10"/>
      <color indexed="81"/>
      <name val="Tahoma"/>
      <family val="2"/>
    </font>
    <font>
      <b/>
      <sz val="11"/>
      <name val="Calibri"/>
      <family val="2"/>
      <scheme val="minor"/>
    </font>
    <font>
      <vertAlign val="subscript"/>
      <sz val="9"/>
      <color theme="1"/>
      <name val="Calibri"/>
      <family val="2"/>
      <scheme val="minor"/>
    </font>
    <font>
      <b/>
      <i/>
      <sz val="9"/>
      <color theme="1"/>
      <name val="Calibri"/>
      <family val="2"/>
      <scheme val="minor"/>
    </font>
    <font>
      <sz val="8"/>
      <color theme="1"/>
      <name val="Calibri"/>
      <family val="2"/>
      <scheme val="minor"/>
    </font>
    <font>
      <b/>
      <i/>
      <sz val="11"/>
      <name val="Calibri"/>
      <family val="2"/>
      <scheme val="minor"/>
    </font>
    <font>
      <b/>
      <sz val="11"/>
      <name val="Calibri"/>
      <family val="2"/>
    </font>
    <font>
      <b/>
      <vertAlign val="subscript"/>
      <sz val="11"/>
      <name val="Calibri"/>
      <family val="2"/>
      <scheme val="minor"/>
    </font>
    <font>
      <b/>
      <sz val="9.35"/>
      <name val="Calibri"/>
      <family val="2"/>
    </font>
    <font>
      <b/>
      <sz val="12"/>
      <name val="Calibri"/>
      <family val="2"/>
      <scheme val="minor"/>
    </font>
    <font>
      <b/>
      <sz val="9"/>
      <name val="Calibri"/>
      <family val="2"/>
      <scheme val="minor"/>
    </font>
    <font>
      <b/>
      <sz val="9"/>
      <name val="Calibri"/>
      <family val="2"/>
    </font>
    <font>
      <b/>
      <sz val="7.65"/>
      <name val="Calibri"/>
      <family val="2"/>
    </font>
    <font>
      <sz val="11"/>
      <color rgb="FF00B050"/>
      <name val="Calibri"/>
      <family val="2"/>
      <scheme val="minor"/>
    </font>
    <font>
      <b/>
      <i/>
      <sz val="11"/>
      <color rgb="FF00B050"/>
      <name val="Calibri"/>
      <family val="2"/>
      <scheme val="minor"/>
    </font>
    <font>
      <b/>
      <sz val="11"/>
      <name val="Wingdings"/>
      <charset val="2"/>
    </font>
    <font>
      <sz val="12"/>
      <name val="Calibri"/>
      <family val="2"/>
      <scheme val="minor"/>
    </font>
    <font>
      <sz val="14"/>
      <name val="Calibri"/>
      <family val="2"/>
      <scheme val="minor"/>
    </font>
    <font>
      <b/>
      <sz val="14"/>
      <name val="Calibri"/>
      <family val="2"/>
      <scheme val="minor"/>
    </font>
    <font>
      <b/>
      <i/>
      <sz val="14"/>
      <name val="Calibri"/>
      <family val="2"/>
      <scheme val="minor"/>
    </font>
    <font>
      <sz val="9"/>
      <name val="Calibri"/>
      <family val="2"/>
      <scheme val="minor"/>
    </font>
    <font>
      <b/>
      <i/>
      <sz val="14"/>
      <color rgb="FF00B050"/>
      <name val="Calibri"/>
      <family val="2"/>
      <scheme val="minor"/>
    </font>
    <font>
      <b/>
      <vertAlign val="subscript"/>
      <sz val="9"/>
      <name val="Calibri"/>
      <family val="2"/>
      <scheme val="minor"/>
    </font>
    <font>
      <b/>
      <sz val="14"/>
      <color rgb="FF00B050"/>
      <name val="Calibri"/>
      <family val="2"/>
      <scheme val="minor"/>
    </font>
    <font>
      <b/>
      <sz val="14"/>
      <name val="Wingdings"/>
      <charset val="2"/>
    </font>
    <font>
      <i/>
      <sz val="11"/>
      <color theme="1"/>
      <name val="Calibri"/>
      <family val="2"/>
      <scheme val="minor"/>
    </font>
  </fonts>
  <fills count="18">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rgb="FF99CCFF"/>
        <bgColor indexed="64"/>
      </patternFill>
    </fill>
    <fill>
      <patternFill patternType="solid">
        <fgColor theme="1"/>
        <bgColor indexed="64"/>
      </patternFill>
    </fill>
    <fill>
      <patternFill patternType="solid">
        <fgColor rgb="FFFFFF00"/>
        <bgColor indexed="64"/>
      </patternFill>
    </fill>
    <fill>
      <patternFill patternType="solid">
        <fgColor indexed="9"/>
        <bgColor indexed="64"/>
      </patternFill>
    </fill>
    <fill>
      <patternFill patternType="solid">
        <fgColor rgb="FF92D050"/>
        <bgColor indexed="64"/>
      </patternFill>
    </fill>
    <fill>
      <patternFill patternType="solid">
        <fgColor rgb="FF00B0F0"/>
        <bgColor indexed="64"/>
      </patternFill>
    </fill>
    <fill>
      <patternFill patternType="solid">
        <fgColor theme="5" tint="0.79998168889431442"/>
        <bgColor indexed="64"/>
      </patternFill>
    </fill>
    <fill>
      <patternFill patternType="solid">
        <fgColor theme="0" tint="-0.34998626667073579"/>
        <bgColor indexed="64"/>
      </patternFill>
    </fill>
    <fill>
      <patternFill patternType="solid">
        <fgColor rgb="FFF7CAAC"/>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theme="0"/>
        <bgColor indexed="64"/>
      </patternFill>
    </fill>
    <fill>
      <patternFill patternType="solid">
        <fgColor theme="4" tint="0.59999389629810485"/>
        <bgColor indexed="64"/>
      </patternFill>
    </fill>
    <fill>
      <patternFill patternType="solid">
        <fgColor theme="9" tint="0.39997558519241921"/>
        <bgColor indexed="64"/>
      </patternFill>
    </fill>
  </fills>
  <borders count="43">
    <border>
      <left/>
      <right/>
      <top/>
      <bottom/>
      <diagonal/>
    </border>
    <border>
      <left/>
      <right/>
      <top/>
      <bottom style="double">
        <color indexed="64"/>
      </bottom>
      <diagonal/>
    </border>
    <border>
      <left/>
      <right style="thin">
        <color auto="1"/>
      </right>
      <top/>
      <bottom/>
      <diagonal/>
    </border>
    <border diagonalDown="1">
      <left/>
      <right/>
      <top/>
      <bottom/>
      <diagonal style="thin">
        <color auto="1"/>
      </diagonal>
    </border>
    <border>
      <left/>
      <right/>
      <top style="double">
        <color indexed="64"/>
      </top>
      <bottom style="double">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6">
    <xf numFmtId="0" fontId="0" fillId="0" borderId="0"/>
    <xf numFmtId="9" fontId="5" fillId="0" borderId="0" applyFont="0" applyFill="0" applyBorder="0" applyAlignment="0" applyProtection="0"/>
    <xf numFmtId="0" fontId="9" fillId="0" borderId="0" applyBorder="0"/>
    <xf numFmtId="0" fontId="5" fillId="0" borderId="0"/>
    <xf numFmtId="43" fontId="9" fillId="0" borderId="0" applyFont="0" applyFill="0" applyBorder="0" applyAlignment="0" applyProtection="0"/>
    <xf numFmtId="0" fontId="5" fillId="0" borderId="0"/>
  </cellStyleXfs>
  <cellXfs count="509">
    <xf numFmtId="0" fontId="0" fillId="0" borderId="0" xfId="0"/>
    <xf numFmtId="0" fontId="0" fillId="0" borderId="0" xfId="0" applyFill="1" applyAlignment="1">
      <alignment horizontal="center" wrapText="1"/>
    </xf>
    <xf numFmtId="0" fontId="0" fillId="0" borderId="0" xfId="0" applyFill="1"/>
    <xf numFmtId="1" fontId="0" fillId="0" borderId="0" xfId="0" applyNumberFormat="1" applyFont="1" applyFill="1" applyBorder="1" applyAlignment="1">
      <alignment horizontal="center"/>
    </xf>
    <xf numFmtId="1" fontId="0" fillId="0" borderId="0" xfId="0" applyNumberFormat="1" applyFill="1" applyAlignment="1">
      <alignment horizontal="center" wrapText="1"/>
    </xf>
    <xf numFmtId="0" fontId="0" fillId="0" borderId="0" xfId="0" applyFill="1" applyAlignment="1">
      <alignment horizontal="center"/>
    </xf>
    <xf numFmtId="2" fontId="0" fillId="0" borderId="0" xfId="0" applyNumberFormat="1" applyFill="1" applyAlignment="1">
      <alignment horizontal="center"/>
    </xf>
    <xf numFmtId="1" fontId="0" fillId="0" borderId="0" xfId="0" applyNumberFormat="1" applyFill="1" applyAlignment="1">
      <alignment horizontal="center"/>
    </xf>
    <xf numFmtId="2" fontId="0" fillId="0" borderId="0" xfId="0" applyNumberFormat="1" applyFont="1" applyFill="1" applyBorder="1" applyAlignment="1">
      <alignment horizontal="center"/>
    </xf>
    <xf numFmtId="0" fontId="4" fillId="0" borderId="0" xfId="0" applyFont="1" applyFill="1" applyAlignment="1">
      <alignment horizontal="center"/>
    </xf>
    <xf numFmtId="2" fontId="4" fillId="0" borderId="0" xfId="0" applyNumberFormat="1" applyFont="1" applyFill="1" applyAlignment="1">
      <alignment horizontal="center"/>
    </xf>
    <xf numFmtId="1" fontId="4" fillId="0" borderId="0" xfId="0" applyNumberFormat="1" applyFont="1" applyFill="1" applyAlignment="1">
      <alignment horizontal="center"/>
    </xf>
    <xf numFmtId="2" fontId="4"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2" fontId="7" fillId="0" borderId="0" xfId="0" applyNumberFormat="1" applyFont="1" applyFill="1" applyBorder="1" applyAlignment="1">
      <alignment horizontal="center"/>
    </xf>
    <xf numFmtId="2" fontId="0" fillId="2" borderId="0" xfId="0" applyNumberFormat="1" applyFont="1" applyFill="1" applyBorder="1" applyAlignment="1">
      <alignment horizontal="center"/>
    </xf>
    <xf numFmtId="2" fontId="8" fillId="0" borderId="0" xfId="0" applyNumberFormat="1" applyFont="1" applyFill="1" applyAlignment="1">
      <alignment horizontal="center" wrapText="1"/>
    </xf>
    <xf numFmtId="0" fontId="11" fillId="0" borderId="0" xfId="2" applyFont="1" applyBorder="1" applyAlignment="1">
      <alignment horizontal="center" vertical="center"/>
    </xf>
    <xf numFmtId="0" fontId="11" fillId="0" borderId="0" xfId="2" applyFont="1" applyBorder="1" applyAlignment="1">
      <alignment horizontal="left" vertical="center" wrapText="1"/>
    </xf>
    <xf numFmtId="2" fontId="11" fillId="0" borderId="0" xfId="2" applyNumberFormat="1" applyFont="1" applyFill="1" applyBorder="1" applyAlignment="1">
      <alignment horizontal="center" vertical="center" wrapText="1"/>
    </xf>
    <xf numFmtId="0" fontId="11" fillId="0" borderId="0" xfId="2" applyFont="1" applyFill="1" applyBorder="1" applyAlignment="1">
      <alignment horizontal="center" vertical="center"/>
    </xf>
    <xf numFmtId="1" fontId="11" fillId="4" borderId="0" xfId="2" applyNumberFormat="1" applyFont="1" applyFill="1" applyBorder="1" applyAlignment="1">
      <alignment horizontal="center" vertical="center" wrapText="1"/>
    </xf>
    <xf numFmtId="1" fontId="11" fillId="0" borderId="0" xfId="2" applyNumberFormat="1" applyFont="1" applyBorder="1" applyAlignment="1">
      <alignment horizontal="right" vertical="center" wrapText="1"/>
    </xf>
    <xf numFmtId="1" fontId="11" fillId="4" borderId="0" xfId="2" applyNumberFormat="1" applyFont="1" applyFill="1" applyBorder="1" applyAlignment="1">
      <alignment horizontal="right" vertical="center" wrapText="1"/>
    </xf>
    <xf numFmtId="0" fontId="11" fillId="0" borderId="0" xfId="2" applyFont="1" applyFill="1" applyBorder="1" applyAlignment="1">
      <alignment horizontal="right" vertical="center" wrapText="1"/>
    </xf>
    <xf numFmtId="0" fontId="11" fillId="4" borderId="0" xfId="2" applyFont="1" applyFill="1" applyBorder="1" applyAlignment="1">
      <alignment horizontal="right" vertical="center" wrapText="1"/>
    </xf>
    <xf numFmtId="1" fontId="11" fillId="0" borderId="0" xfId="2" applyNumberFormat="1" applyFont="1" applyFill="1" applyBorder="1" applyAlignment="1">
      <alignment horizontal="right" vertical="center" wrapText="1"/>
    </xf>
    <xf numFmtId="0" fontId="11" fillId="0" borderId="0" xfId="2" applyFont="1" applyFill="1" applyBorder="1" applyAlignment="1">
      <alignment horizontal="right" vertical="center"/>
    </xf>
    <xf numFmtId="0" fontId="11" fillId="4" borderId="0" xfId="2" applyFont="1" applyFill="1" applyBorder="1" applyAlignment="1">
      <alignment horizontal="right" vertical="center"/>
    </xf>
    <xf numFmtId="1" fontId="11" fillId="0" borderId="0" xfId="2" applyNumberFormat="1" applyFont="1" applyFill="1" applyBorder="1" applyAlignment="1">
      <alignment horizontal="right" vertical="center"/>
    </xf>
    <xf numFmtId="1" fontId="11" fillId="0" borderId="0" xfId="2" applyNumberFormat="1" applyFont="1" applyFill="1" applyBorder="1" applyAlignment="1">
      <alignment horizontal="left" vertical="center" wrapText="1"/>
    </xf>
    <xf numFmtId="0" fontId="11" fillId="4" borderId="0" xfId="2" applyFont="1" applyFill="1" applyBorder="1" applyAlignment="1">
      <alignment horizontal="left" vertical="center" wrapText="1"/>
    </xf>
    <xf numFmtId="1" fontId="11" fillId="0" borderId="0" xfId="2" applyNumberFormat="1" applyFont="1" applyBorder="1" applyAlignment="1">
      <alignment horizontal="left" vertical="center"/>
    </xf>
    <xf numFmtId="0" fontId="10" fillId="0" borderId="0" xfId="3" applyFont="1" applyBorder="1" applyAlignment="1">
      <alignment horizontal="left" vertical="center" wrapText="1"/>
    </xf>
    <xf numFmtId="0" fontId="10" fillId="0" borderId="0" xfId="2" applyFont="1" applyBorder="1" applyAlignment="1">
      <alignment horizontal="left" vertical="center"/>
    </xf>
    <xf numFmtId="0" fontId="10" fillId="0" borderId="0" xfId="2" applyFont="1" applyFill="1" applyBorder="1" applyAlignment="1">
      <alignment horizontal="left" vertical="top"/>
    </xf>
    <xf numFmtId="0" fontId="10" fillId="0" borderId="0" xfId="2" applyFont="1" applyFill="1" applyBorder="1" applyAlignment="1">
      <alignment horizontal="left" vertical="top" wrapText="1"/>
    </xf>
    <xf numFmtId="0" fontId="10" fillId="0" borderId="0" xfId="2" applyFont="1" applyBorder="1" applyAlignment="1">
      <alignment horizontal="right"/>
    </xf>
    <xf numFmtId="0" fontId="10" fillId="0" borderId="0" xfId="2" applyFont="1" applyBorder="1" applyAlignment="1">
      <alignment horizontal="left" wrapText="1"/>
    </xf>
    <xf numFmtId="0" fontId="10" fillId="5" borderId="0" xfId="2" applyFont="1" applyFill="1" applyBorder="1" applyAlignment="1">
      <alignment horizontal="center" vertical="center" wrapText="1"/>
    </xf>
    <xf numFmtId="0" fontId="13" fillId="0" borderId="0" xfId="2" applyFont="1" applyBorder="1" applyAlignment="1">
      <alignment horizontal="center" vertical="center"/>
    </xf>
    <xf numFmtId="0" fontId="13" fillId="0" borderId="0" xfId="2" applyFont="1" applyBorder="1" applyAlignment="1">
      <alignment horizontal="right" vertical="center"/>
    </xf>
    <xf numFmtId="1" fontId="10" fillId="0" borderId="0" xfId="2" applyNumberFormat="1" applyFont="1" applyBorder="1" applyAlignment="1">
      <alignment horizontal="left" wrapText="1"/>
    </xf>
    <xf numFmtId="0" fontId="10" fillId="5" borderId="2" xfId="2" applyFont="1" applyFill="1" applyBorder="1" applyAlignment="1">
      <alignment horizontal="center" vertical="center" wrapText="1"/>
    </xf>
    <xf numFmtId="0" fontId="14" fillId="0" borderId="0" xfId="2" applyFont="1" applyBorder="1" applyAlignment="1">
      <alignment horizontal="left" vertical="center" wrapText="1"/>
    </xf>
    <xf numFmtId="0" fontId="11" fillId="0" borderId="0" xfId="2" applyFont="1" applyBorder="1" applyAlignment="1">
      <alignment horizontal="center" vertical="center" wrapText="1"/>
    </xf>
    <xf numFmtId="0" fontId="10" fillId="0" borderId="3" xfId="3" applyFont="1" applyBorder="1" applyAlignment="1">
      <alignment horizontal="left" vertical="top" wrapText="1"/>
    </xf>
    <xf numFmtId="0" fontId="10" fillId="0" borderId="0" xfId="2" applyFont="1" applyBorder="1" applyAlignment="1">
      <alignment horizontal="center" vertical="center" wrapText="1"/>
    </xf>
    <xf numFmtId="0" fontId="9" fillId="0" borderId="0" xfId="2" applyBorder="1" applyAlignment="1">
      <alignment horizontal="center" vertical="center"/>
    </xf>
    <xf numFmtId="0" fontId="16" fillId="0" borderId="0" xfId="2" applyFont="1" applyBorder="1" applyAlignment="1">
      <alignment horizontal="right" vertical="center" wrapText="1"/>
    </xf>
    <xf numFmtId="0" fontId="9" fillId="0" borderId="2" xfId="2" applyBorder="1" applyAlignment="1">
      <alignment horizontal="center" vertical="center"/>
    </xf>
    <xf numFmtId="0" fontId="10" fillId="0" borderId="0" xfId="2" applyFont="1" applyBorder="1" applyAlignment="1">
      <alignment horizontal="left"/>
    </xf>
    <xf numFmtId="0" fontId="10" fillId="0" borderId="0" xfId="2" applyFont="1" applyBorder="1" applyAlignment="1">
      <alignment horizontal="center"/>
    </xf>
    <xf numFmtId="0" fontId="10" fillId="0" borderId="0" xfId="2" applyFont="1" applyFill="1" applyBorder="1" applyAlignment="1">
      <alignment horizontal="center"/>
    </xf>
    <xf numFmtId="0" fontId="10" fillId="0" borderId="0" xfId="2" applyFont="1" applyFill="1" applyBorder="1" applyAlignment="1">
      <alignment horizontal="left" vertical="center" wrapText="1"/>
    </xf>
    <xf numFmtId="2" fontId="10" fillId="0" borderId="0" xfId="2" applyNumberFormat="1" applyFont="1" applyFill="1" applyBorder="1" applyAlignment="1">
      <alignment horizontal="center"/>
    </xf>
    <xf numFmtId="1" fontId="10" fillId="4" borderId="0" xfId="2" applyNumberFormat="1" applyFont="1" applyFill="1" applyBorder="1" applyAlignment="1">
      <alignment horizontal="center"/>
    </xf>
    <xf numFmtId="1" fontId="10" fillId="0" borderId="0" xfId="2" applyNumberFormat="1" applyFont="1" applyFill="1" applyBorder="1" applyAlignment="1">
      <alignment horizontal="right"/>
    </xf>
    <xf numFmtId="1" fontId="10" fillId="4" borderId="0" xfId="2" applyNumberFormat="1" applyFont="1" applyFill="1" applyBorder="1" applyAlignment="1">
      <alignment horizontal="right"/>
    </xf>
    <xf numFmtId="1" fontId="10" fillId="0" borderId="0" xfId="2" applyNumberFormat="1" applyFont="1" applyFill="1" applyBorder="1" applyAlignment="1">
      <alignment horizontal="right" vertical="center" wrapText="1"/>
    </xf>
    <xf numFmtId="1" fontId="10" fillId="4" borderId="0" xfId="2" applyNumberFormat="1" applyFont="1" applyFill="1" applyBorder="1" applyAlignment="1">
      <alignment horizontal="right" vertical="center" wrapText="1"/>
    </xf>
    <xf numFmtId="0" fontId="10" fillId="0" borderId="0" xfId="2" applyFont="1" applyFill="1" applyBorder="1" applyAlignment="1">
      <alignment horizontal="right"/>
    </xf>
    <xf numFmtId="1" fontId="10" fillId="0" borderId="0" xfId="2" applyNumberFormat="1" applyFont="1" applyFill="1" applyBorder="1" applyAlignment="1">
      <alignment horizontal="left"/>
    </xf>
    <xf numFmtId="1" fontId="10" fillId="4" borderId="0" xfId="2" applyNumberFormat="1" applyFont="1" applyFill="1" applyBorder="1" applyAlignment="1">
      <alignment horizontal="left"/>
    </xf>
    <xf numFmtId="0" fontId="10" fillId="0" borderId="0" xfId="3" applyFont="1" applyFill="1" applyBorder="1" applyAlignment="1">
      <alignment horizontal="left" vertical="center"/>
    </xf>
    <xf numFmtId="0" fontId="10" fillId="0" borderId="0" xfId="2" applyFont="1" applyFill="1" applyBorder="1" applyAlignment="1">
      <alignment horizontal="left" vertical="center"/>
    </xf>
    <xf numFmtId="1" fontId="10" fillId="2" borderId="0" xfId="2" applyNumberFormat="1" applyFont="1" applyFill="1" applyBorder="1" applyAlignment="1">
      <alignment horizontal="left"/>
    </xf>
    <xf numFmtId="1" fontId="10" fillId="5" borderId="0" xfId="2" applyNumberFormat="1" applyFont="1" applyFill="1" applyBorder="1" applyAlignment="1">
      <alignment horizontal="center" vertical="center" wrapText="1"/>
    </xf>
    <xf numFmtId="1" fontId="13" fillId="0" borderId="0" xfId="2" applyNumberFormat="1" applyFont="1" applyBorder="1" applyAlignment="1">
      <alignment horizontal="center" vertical="center" wrapText="1"/>
    </xf>
    <xf numFmtId="1" fontId="10" fillId="0" borderId="0" xfId="2" applyNumberFormat="1" applyFont="1" applyBorder="1" applyAlignment="1">
      <alignment horizontal="left"/>
    </xf>
    <xf numFmtId="1" fontId="10" fillId="5" borderId="2" xfId="2" applyNumberFormat="1" applyFont="1" applyFill="1" applyBorder="1" applyAlignment="1">
      <alignment horizontal="center" vertical="center" wrapText="1"/>
    </xf>
    <xf numFmtId="1" fontId="10" fillId="0" borderId="0" xfId="2" applyNumberFormat="1" applyFont="1" applyBorder="1" applyAlignment="1">
      <alignment horizontal="center" vertical="center" wrapText="1"/>
    </xf>
    <xf numFmtId="1" fontId="10" fillId="0" borderId="2" xfId="2" applyNumberFormat="1" applyFont="1" applyBorder="1" applyAlignment="1">
      <alignment horizontal="center" vertical="center" wrapText="1"/>
    </xf>
    <xf numFmtId="3" fontId="10" fillId="0" borderId="0" xfId="2" applyNumberFormat="1" applyFont="1" applyFill="1" applyBorder="1" applyAlignment="1">
      <alignment horizontal="right"/>
    </xf>
    <xf numFmtId="1" fontId="13" fillId="0" borderId="0" xfId="2" applyNumberFormat="1" applyFont="1" applyFill="1" applyBorder="1" applyAlignment="1">
      <alignment horizontal="right"/>
    </xf>
    <xf numFmtId="0" fontId="10" fillId="4" borderId="0" xfId="2" applyFont="1" applyFill="1" applyBorder="1" applyAlignment="1">
      <alignment horizontal="right"/>
    </xf>
    <xf numFmtId="2" fontId="10" fillId="4" borderId="0" xfId="2" applyNumberFormat="1" applyFont="1" applyFill="1" applyBorder="1" applyAlignment="1">
      <alignment horizontal="center"/>
    </xf>
    <xf numFmtId="1" fontId="10" fillId="0" borderId="0" xfId="2" applyNumberFormat="1" applyFont="1" applyBorder="1" applyAlignment="1">
      <alignment horizontal="right"/>
    </xf>
    <xf numFmtId="0" fontId="10" fillId="0" borderId="0" xfId="3" applyFont="1" applyBorder="1" applyAlignment="1">
      <alignment horizontal="left" vertical="center"/>
    </xf>
    <xf numFmtId="0" fontId="10" fillId="4" borderId="0" xfId="2" applyFont="1" applyFill="1" applyBorder="1" applyAlignment="1">
      <alignment horizontal="center"/>
    </xf>
    <xf numFmtId="0" fontId="10" fillId="0" borderId="0" xfId="2" applyFont="1" applyFill="1" applyBorder="1" applyAlignment="1">
      <alignment horizontal="left"/>
    </xf>
    <xf numFmtId="0" fontId="10" fillId="4" borderId="0" xfId="2" applyFont="1" applyFill="1" applyBorder="1" applyAlignment="1">
      <alignment horizontal="left"/>
    </xf>
    <xf numFmtId="1" fontId="13" fillId="0" borderId="1" xfId="2" applyNumberFormat="1" applyFont="1" applyFill="1" applyBorder="1" applyAlignment="1">
      <alignment horizontal="right"/>
    </xf>
    <xf numFmtId="1" fontId="10" fillId="0" borderId="1" xfId="2" applyNumberFormat="1" applyFont="1" applyBorder="1" applyAlignment="1">
      <alignment horizontal="left"/>
    </xf>
    <xf numFmtId="0" fontId="11" fillId="0" borderId="0" xfId="2" applyFont="1" applyBorder="1" applyAlignment="1">
      <alignment horizontal="left"/>
    </xf>
    <xf numFmtId="1" fontId="13" fillId="0" borderId="4" xfId="2" applyNumberFormat="1" applyFont="1" applyFill="1" applyBorder="1" applyAlignment="1">
      <alignment horizontal="right"/>
    </xf>
    <xf numFmtId="1" fontId="10" fillId="0" borderId="4" xfId="2" applyNumberFormat="1" applyFont="1" applyBorder="1" applyAlignment="1">
      <alignment horizontal="left"/>
    </xf>
    <xf numFmtId="0" fontId="10" fillId="3" borderId="0" xfId="2" applyFont="1" applyFill="1" applyBorder="1" applyAlignment="1">
      <alignment horizontal="left" vertical="center"/>
    </xf>
    <xf numFmtId="1" fontId="13" fillId="0" borderId="0" xfId="4" applyNumberFormat="1" applyFont="1" applyFill="1" applyBorder="1" applyAlignment="1">
      <alignment horizontal="right"/>
    </xf>
    <xf numFmtId="0" fontId="10" fillId="7" borderId="0" xfId="2" applyFont="1" applyFill="1" applyBorder="1" applyAlignment="1">
      <alignment horizontal="center"/>
    </xf>
    <xf numFmtId="1" fontId="10" fillId="7" borderId="0" xfId="2" applyNumberFormat="1" applyFont="1" applyFill="1" applyBorder="1" applyAlignment="1">
      <alignment horizontal="right"/>
    </xf>
    <xf numFmtId="1" fontId="10" fillId="7" borderId="0" xfId="2" applyNumberFormat="1" applyFont="1" applyFill="1" applyBorder="1" applyAlignment="1">
      <alignment horizontal="left"/>
    </xf>
    <xf numFmtId="0" fontId="10" fillId="7" borderId="0" xfId="2" applyFont="1" applyFill="1" applyBorder="1" applyAlignment="1">
      <alignment horizontal="left" vertical="center"/>
    </xf>
    <xf numFmtId="0" fontId="12" fillId="0" borderId="0" xfId="2" applyFont="1" applyFill="1" applyBorder="1" applyAlignment="1">
      <alignment horizontal="left" vertical="center"/>
    </xf>
    <xf numFmtId="0" fontId="12" fillId="6" borderId="0" xfId="2" applyFont="1" applyFill="1" applyBorder="1" applyAlignment="1">
      <alignment horizontal="left"/>
    </xf>
    <xf numFmtId="1" fontId="8" fillId="0" borderId="0" xfId="5" applyNumberFormat="1" applyFont="1" applyFill="1" applyBorder="1" applyAlignment="1">
      <alignment horizontal="right"/>
    </xf>
    <xf numFmtId="1" fontId="10" fillId="4" borderId="0" xfId="2" applyNumberFormat="1" applyFont="1" applyFill="1" applyBorder="1" applyAlignment="1">
      <alignment horizontal="left" vertical="center"/>
    </xf>
    <xf numFmtId="0" fontId="10" fillId="7" borderId="0" xfId="2" applyFont="1" applyFill="1" applyBorder="1" applyAlignment="1">
      <alignment horizontal="left"/>
    </xf>
    <xf numFmtId="0" fontId="11" fillId="0" borderId="0" xfId="2" applyFont="1" applyFill="1" applyBorder="1" applyAlignment="1">
      <alignment horizontal="left"/>
    </xf>
    <xf numFmtId="0" fontId="10" fillId="8" borderId="0" xfId="2" applyFont="1" applyFill="1" applyBorder="1" applyAlignment="1">
      <alignment horizontal="left" vertical="center"/>
    </xf>
    <xf numFmtId="0" fontId="10" fillId="9" borderId="0" xfId="2" applyFont="1" applyFill="1" applyBorder="1" applyAlignment="1">
      <alignment horizontal="left" vertical="center"/>
    </xf>
    <xf numFmtId="0" fontId="10" fillId="2" borderId="0" xfId="3" applyFont="1" applyFill="1" applyBorder="1" applyAlignment="1">
      <alignment horizontal="left" vertical="center"/>
    </xf>
    <xf numFmtId="0" fontId="10" fillId="2" borderId="0" xfId="2" applyFont="1" applyFill="1" applyBorder="1" applyAlignment="1">
      <alignment horizontal="left" vertical="center"/>
    </xf>
    <xf numFmtId="1" fontId="10" fillId="0" borderId="0" xfId="2" applyNumberFormat="1" applyFont="1" applyFill="1" applyBorder="1" applyAlignment="1">
      <alignment horizontal="center" vertical="center" wrapText="1"/>
    </xf>
    <xf numFmtId="1" fontId="13" fillId="0" borderId="0" xfId="2" applyNumberFormat="1" applyFont="1" applyFill="1" applyBorder="1" applyAlignment="1">
      <alignment horizontal="center" vertical="center" wrapText="1"/>
    </xf>
    <xf numFmtId="2" fontId="5" fillId="0" borderId="0" xfId="2" applyNumberFormat="1" applyFont="1" applyFill="1" applyBorder="1" applyAlignment="1">
      <alignment horizontal="right"/>
    </xf>
    <xf numFmtId="1" fontId="13" fillId="0" borderId="0" xfId="2" applyNumberFormat="1" applyFont="1" applyFill="1" applyBorder="1" applyAlignment="1">
      <alignment horizontal="right" vertical="center"/>
    </xf>
    <xf numFmtId="0" fontId="10" fillId="0" borderId="0" xfId="2" applyFont="1" applyFill="1" applyBorder="1" applyAlignment="1">
      <alignment vertical="center"/>
    </xf>
    <xf numFmtId="0" fontId="10" fillId="0" borderId="2" xfId="2" applyFont="1" applyFill="1" applyBorder="1" applyAlignment="1">
      <alignment vertical="center"/>
    </xf>
    <xf numFmtId="1" fontId="10" fillId="5" borderId="0" xfId="2" applyNumberFormat="1" applyFont="1" applyFill="1" applyBorder="1" applyAlignment="1">
      <alignment horizontal="center" vertical="center"/>
    </xf>
    <xf numFmtId="1" fontId="13" fillId="0" borderId="0" xfId="2" applyNumberFormat="1" applyFont="1" applyFill="1" applyBorder="1" applyAlignment="1">
      <alignment horizontal="center" vertical="center"/>
    </xf>
    <xf numFmtId="1" fontId="10" fillId="5" borderId="2" xfId="2" applyNumberFormat="1" applyFont="1" applyFill="1" applyBorder="1" applyAlignment="1">
      <alignment horizontal="center" vertical="center"/>
    </xf>
    <xf numFmtId="1" fontId="10" fillId="0" borderId="0" xfId="2" applyNumberFormat="1" applyFont="1" applyFill="1" applyBorder="1" applyAlignment="1">
      <alignment horizontal="center" vertical="center"/>
    </xf>
    <xf numFmtId="0" fontId="9" fillId="0" borderId="0" xfId="2" applyFill="1" applyBorder="1" applyAlignment="1">
      <alignment vertical="center"/>
    </xf>
    <xf numFmtId="0" fontId="9" fillId="0" borderId="2" xfId="2" applyFill="1" applyBorder="1" applyAlignment="1">
      <alignment vertical="center"/>
    </xf>
    <xf numFmtId="1" fontId="13" fillId="0" borderId="0" xfId="2" applyNumberFormat="1" applyFont="1" applyBorder="1" applyAlignment="1">
      <alignment horizontal="center" vertical="center"/>
    </xf>
    <xf numFmtId="1" fontId="13" fillId="0" borderId="0" xfId="2" applyNumberFormat="1" applyFont="1" applyBorder="1" applyAlignment="1">
      <alignment horizontal="right" vertical="center"/>
    </xf>
    <xf numFmtId="1" fontId="10" fillId="0" borderId="0" xfId="2" applyNumberFormat="1" applyFont="1" applyBorder="1" applyAlignment="1">
      <alignment horizontal="center" vertical="center"/>
    </xf>
    <xf numFmtId="0" fontId="9" fillId="0" borderId="0" xfId="2" applyBorder="1" applyAlignment="1">
      <alignment vertical="center"/>
    </xf>
    <xf numFmtId="0" fontId="9" fillId="0" borderId="2" xfId="2" applyBorder="1" applyAlignment="1">
      <alignment vertical="center"/>
    </xf>
    <xf numFmtId="2" fontId="0" fillId="0" borderId="0" xfId="0" applyNumberFormat="1" applyAlignment="1">
      <alignment horizontal="center" wrapText="1"/>
    </xf>
    <xf numFmtId="2" fontId="0" fillId="0" borderId="0" xfId="0" applyNumberFormat="1" applyFill="1" applyBorder="1" applyAlignment="1">
      <alignment horizontal="center"/>
    </xf>
    <xf numFmtId="0" fontId="0" fillId="0" borderId="0" xfId="0" applyFill="1" applyBorder="1" applyAlignment="1">
      <alignment horizontal="center"/>
    </xf>
    <xf numFmtId="1" fontId="0" fillId="0" borderId="0" xfId="0" applyNumberFormat="1" applyFill="1" applyBorder="1" applyAlignment="1">
      <alignment horizontal="center"/>
    </xf>
    <xf numFmtId="1" fontId="0" fillId="2" borderId="0" xfId="0" applyNumberFormat="1" applyFill="1" applyAlignment="1">
      <alignment horizontal="center"/>
    </xf>
    <xf numFmtId="0" fontId="0" fillId="2" borderId="0" xfId="0" applyFill="1" applyAlignment="1">
      <alignment horizontal="center"/>
    </xf>
    <xf numFmtId="2" fontId="0" fillId="2" borderId="0" xfId="0" applyNumberFormat="1" applyFill="1" applyAlignment="1">
      <alignment horizontal="center"/>
    </xf>
    <xf numFmtId="2" fontId="8" fillId="10" borderId="0" xfId="0" applyNumberFormat="1" applyFont="1" applyFill="1" applyAlignment="1">
      <alignment horizontal="center" wrapText="1"/>
    </xf>
    <xf numFmtId="2" fontId="0" fillId="10" borderId="0" xfId="0" applyNumberFormat="1" applyFill="1" applyAlignment="1">
      <alignment horizontal="center"/>
    </xf>
    <xf numFmtId="2" fontId="0" fillId="10" borderId="0" xfId="0" applyNumberFormat="1" applyFont="1" applyFill="1" applyBorder="1" applyAlignment="1">
      <alignment horizontal="center"/>
    </xf>
    <xf numFmtId="0" fontId="4" fillId="0" borderId="0" xfId="0" applyFont="1" applyFill="1" applyAlignment="1">
      <alignment horizontal="center" vertical="top" wrapText="1"/>
    </xf>
    <xf numFmtId="1" fontId="0" fillId="11" borderId="0" xfId="0" applyNumberFormat="1" applyFill="1" applyAlignment="1">
      <alignment horizontal="center"/>
    </xf>
    <xf numFmtId="2" fontId="0" fillId="0" borderId="0" xfId="0" applyNumberFormat="1" applyAlignment="1">
      <alignment horizontal="center"/>
    </xf>
    <xf numFmtId="9" fontId="0" fillId="0" borderId="0" xfId="1" applyNumberFormat="1" applyFont="1" applyFill="1" applyAlignment="1">
      <alignment horizontal="center"/>
    </xf>
    <xf numFmtId="9" fontId="0" fillId="2" borderId="0" xfId="1" applyNumberFormat="1" applyFont="1" applyFill="1" applyAlignment="1">
      <alignment horizontal="center"/>
    </xf>
    <xf numFmtId="0" fontId="0" fillId="10" borderId="0" xfId="0" applyFill="1" applyAlignment="1">
      <alignment horizontal="center" wrapText="1"/>
    </xf>
    <xf numFmtId="0" fontId="0" fillId="10" borderId="0" xfId="0" applyFill="1" applyAlignment="1">
      <alignment horizontal="center"/>
    </xf>
    <xf numFmtId="2" fontId="6" fillId="2" borderId="0" xfId="0" applyNumberFormat="1" applyFont="1" applyFill="1" applyBorder="1" applyAlignment="1">
      <alignment horizontal="center"/>
    </xf>
    <xf numFmtId="0" fontId="13" fillId="0" borderId="0" xfId="0" applyFont="1" applyFill="1" applyBorder="1" applyAlignment="1">
      <alignment vertical="top"/>
    </xf>
    <xf numFmtId="0" fontId="10" fillId="0" borderId="9" xfId="0" applyFont="1" applyFill="1" applyBorder="1" applyAlignment="1">
      <alignment horizontal="center" vertical="center" wrapText="1"/>
    </xf>
    <xf numFmtId="0" fontId="10" fillId="0" borderId="9" xfId="0" applyFont="1" applyFill="1" applyBorder="1" applyAlignment="1">
      <alignment horizontal="left" vertical="center" wrapText="1"/>
    </xf>
    <xf numFmtId="0" fontId="8" fillId="0" borderId="0" xfId="0" applyFont="1" applyBorder="1"/>
    <xf numFmtId="0" fontId="10" fillId="0" borderId="0" xfId="0" applyFont="1" applyFill="1" applyBorder="1" applyAlignment="1">
      <alignment horizontal="left" vertical="center" wrapText="1"/>
    </xf>
    <xf numFmtId="0" fontId="10" fillId="0" borderId="0" xfId="0" applyFont="1" applyFill="1" applyBorder="1" applyAlignment="1">
      <alignment horizontal="center" vertical="center" wrapText="1"/>
    </xf>
    <xf numFmtId="1" fontId="10" fillId="0" borderId="0" xfId="0" applyNumberFormat="1" applyFont="1" applyFill="1" applyBorder="1" applyAlignment="1">
      <alignment horizontal="center" vertical="center"/>
    </xf>
    <xf numFmtId="166" fontId="10" fillId="0" borderId="0" xfId="0" applyNumberFormat="1" applyFont="1" applyFill="1" applyBorder="1" applyAlignment="1">
      <alignment horizontal="center" vertical="center"/>
    </xf>
    <xf numFmtId="0" fontId="10" fillId="0" borderId="0" xfId="0" applyFont="1" applyFill="1" applyBorder="1" applyAlignment="1">
      <alignment vertical="center" wrapText="1"/>
    </xf>
    <xf numFmtId="1" fontId="10" fillId="0" borderId="0" xfId="0" applyNumberFormat="1" applyFont="1" applyFill="1" applyBorder="1" applyAlignment="1">
      <alignment vertical="center"/>
    </xf>
    <xf numFmtId="0" fontId="3" fillId="12" borderId="10" xfId="0" applyFont="1" applyFill="1" applyBorder="1" applyAlignment="1">
      <alignment vertical="center" wrapText="1"/>
    </xf>
    <xf numFmtId="0" fontId="3" fillId="12" borderId="6" xfId="0" applyFont="1" applyFill="1" applyBorder="1" applyAlignment="1">
      <alignment horizontal="center" vertical="center" wrapText="1"/>
    </xf>
    <xf numFmtId="0" fontId="0" fillId="0" borderId="0" xfId="0" applyAlignment="1">
      <alignment wrapText="1"/>
    </xf>
    <xf numFmtId="0" fontId="0" fillId="0" borderId="0" xfId="0" applyAlignment="1">
      <alignment horizontal="left" wrapText="1"/>
    </xf>
    <xf numFmtId="165" fontId="3" fillId="12" borderId="6" xfId="0" applyNumberFormat="1" applyFont="1" applyFill="1" applyBorder="1" applyAlignment="1">
      <alignment horizontal="center" vertical="center" wrapText="1"/>
    </xf>
    <xf numFmtId="165" fontId="0" fillId="0" borderId="0" xfId="0" applyNumberFormat="1" applyAlignment="1">
      <alignment wrapText="1"/>
    </xf>
    <xf numFmtId="1" fontId="3" fillId="12" borderId="6" xfId="0" applyNumberFormat="1" applyFont="1" applyFill="1" applyBorder="1" applyAlignment="1">
      <alignment horizontal="center" vertical="center" wrapText="1"/>
    </xf>
    <xf numFmtId="1" fontId="0" fillId="0" borderId="0" xfId="0" applyNumberFormat="1" applyAlignment="1">
      <alignment wrapText="1"/>
    </xf>
    <xf numFmtId="0" fontId="3" fillId="0" borderId="9" xfId="0" applyFont="1" applyBorder="1" applyAlignment="1">
      <alignment horizontal="center" vertical="center" wrapText="1"/>
    </xf>
    <xf numFmtId="1" fontId="3" fillId="0" borderId="9" xfId="0" applyNumberFormat="1" applyFont="1" applyBorder="1" applyAlignment="1">
      <alignment horizontal="center" vertical="center" wrapText="1"/>
    </xf>
    <xf numFmtId="165" fontId="3" fillId="0" borderId="9" xfId="0" applyNumberFormat="1" applyFont="1" applyBorder="1" applyAlignment="1">
      <alignment horizontal="center" vertical="center" wrapText="1"/>
    </xf>
    <xf numFmtId="1" fontId="23" fillId="0" borderId="9" xfId="0" applyNumberFormat="1" applyFont="1" applyBorder="1" applyAlignment="1">
      <alignment horizontal="center" vertical="center" wrapText="1"/>
    </xf>
    <xf numFmtId="0" fontId="3" fillId="0" borderId="11" xfId="0" applyFont="1" applyBorder="1" applyAlignment="1">
      <alignment vertical="center" wrapText="1"/>
    </xf>
    <xf numFmtId="0" fontId="3" fillId="0" borderId="12" xfId="0" applyFont="1" applyBorder="1" applyAlignment="1">
      <alignment horizontal="center" vertical="center" wrapText="1"/>
    </xf>
    <xf numFmtId="1" fontId="3" fillId="0" borderId="12" xfId="0" applyNumberFormat="1" applyFont="1" applyBorder="1" applyAlignment="1">
      <alignment horizontal="center" vertical="center" wrapText="1"/>
    </xf>
    <xf numFmtId="165" fontId="3" fillId="0" borderId="12" xfId="0" applyNumberFormat="1" applyFont="1" applyBorder="1" applyAlignment="1">
      <alignment horizontal="center" vertical="center" wrapText="1"/>
    </xf>
    <xf numFmtId="165" fontId="3" fillId="0" borderId="13" xfId="0" applyNumberFormat="1" applyFont="1" applyBorder="1" applyAlignment="1">
      <alignment horizontal="center" vertical="center" wrapText="1"/>
    </xf>
    <xf numFmtId="0" fontId="3" fillId="0" borderId="14" xfId="0" applyFont="1" applyBorder="1" applyAlignment="1">
      <alignment vertical="center" wrapText="1"/>
    </xf>
    <xf numFmtId="165" fontId="3" fillId="0" borderId="15" xfId="0" applyNumberFormat="1" applyFont="1" applyBorder="1" applyAlignment="1">
      <alignment horizontal="center" vertical="center" wrapText="1"/>
    </xf>
    <xf numFmtId="0" fontId="3" fillId="0" borderId="16" xfId="0" applyFont="1" applyBorder="1" applyAlignment="1">
      <alignment vertical="center" wrapText="1"/>
    </xf>
    <xf numFmtId="0" fontId="3" fillId="0" borderId="17" xfId="0" applyFont="1" applyBorder="1" applyAlignment="1">
      <alignment horizontal="center" vertical="center" wrapText="1"/>
    </xf>
    <xf numFmtId="1" fontId="3" fillId="0" borderId="17" xfId="0" applyNumberFormat="1" applyFont="1" applyBorder="1" applyAlignment="1">
      <alignment horizontal="center" vertical="center" wrapText="1"/>
    </xf>
    <xf numFmtId="165" fontId="3" fillId="0" borderId="17" xfId="0" applyNumberFormat="1" applyFont="1" applyBorder="1" applyAlignment="1">
      <alignment horizontal="center" vertical="center" wrapText="1"/>
    </xf>
    <xf numFmtId="165" fontId="3" fillId="0" borderId="18" xfId="0" applyNumberFormat="1" applyFont="1" applyBorder="1" applyAlignment="1">
      <alignment horizontal="center" vertical="center" wrapText="1"/>
    </xf>
    <xf numFmtId="1" fontId="0" fillId="0" borderId="17" xfId="0" applyNumberFormat="1" applyBorder="1" applyAlignment="1">
      <alignment vertical="center" wrapText="1"/>
    </xf>
    <xf numFmtId="1" fontId="23" fillId="0" borderId="17" xfId="0" applyNumberFormat="1" applyFont="1" applyBorder="1" applyAlignment="1">
      <alignment horizontal="center" vertical="center" wrapText="1"/>
    </xf>
    <xf numFmtId="0" fontId="3" fillId="0" borderId="19" xfId="0" applyFont="1" applyBorder="1" applyAlignment="1">
      <alignment vertical="center" wrapText="1"/>
    </xf>
    <xf numFmtId="0" fontId="3" fillId="0" borderId="20" xfId="0" applyFont="1" applyBorder="1" applyAlignment="1">
      <alignment horizontal="center" vertical="center" wrapText="1"/>
    </xf>
    <xf numFmtId="1" fontId="3" fillId="0" borderId="20" xfId="0" applyNumberFormat="1" applyFont="1" applyBorder="1" applyAlignment="1">
      <alignment horizontal="center" vertical="center" wrapText="1"/>
    </xf>
    <xf numFmtId="165" fontId="3" fillId="0" borderId="20" xfId="0" applyNumberFormat="1" applyFont="1" applyBorder="1" applyAlignment="1">
      <alignment horizontal="center" vertical="center" wrapText="1"/>
    </xf>
    <xf numFmtId="165" fontId="3" fillId="0" borderId="21" xfId="0" applyNumberFormat="1" applyFont="1" applyBorder="1" applyAlignment="1">
      <alignment horizontal="center" vertical="center" wrapText="1"/>
    </xf>
    <xf numFmtId="9" fontId="10" fillId="0" borderId="9" xfId="1" applyFont="1" applyFill="1" applyBorder="1" applyAlignment="1">
      <alignment horizontal="center" vertical="center"/>
    </xf>
    <xf numFmtId="0" fontId="10" fillId="0" borderId="22" xfId="0" applyFont="1" applyFill="1" applyBorder="1" applyAlignment="1">
      <alignment horizontal="left" vertical="center" wrapText="1"/>
    </xf>
    <xf numFmtId="0" fontId="10" fillId="0" borderId="22" xfId="0" applyFont="1" applyFill="1" applyBorder="1" applyAlignment="1">
      <alignment horizontal="center" vertical="center" wrapText="1"/>
    </xf>
    <xf numFmtId="9" fontId="10" fillId="0" borderId="22" xfId="1" applyFont="1" applyFill="1" applyBorder="1" applyAlignment="1">
      <alignment horizontal="center" vertical="center"/>
    </xf>
    <xf numFmtId="0" fontId="8" fillId="12" borderId="9" xfId="0" applyFont="1" applyFill="1" applyBorder="1" applyAlignment="1">
      <alignment vertical="center" wrapText="1"/>
    </xf>
    <xf numFmtId="0" fontId="8" fillId="12" borderId="9" xfId="0" applyFont="1" applyFill="1" applyBorder="1" applyAlignment="1">
      <alignment horizontal="center" vertical="center" wrapText="1"/>
    </xf>
    <xf numFmtId="0" fontId="0" fillId="0" borderId="0" xfId="0" applyAlignment="1"/>
    <xf numFmtId="0" fontId="0" fillId="0" borderId="0" xfId="0" applyAlignment="1">
      <alignment horizontal="center"/>
    </xf>
    <xf numFmtId="1" fontId="0" fillId="0" borderId="0" xfId="0" applyNumberFormat="1" applyAlignment="1">
      <alignment horizontal="center"/>
    </xf>
    <xf numFmtId="2" fontId="0" fillId="0" borderId="0" xfId="0" applyNumberFormat="1" applyAlignment="1">
      <alignment horizontal="left" wrapText="1"/>
    </xf>
    <xf numFmtId="168" fontId="0" fillId="0" borderId="0" xfId="0" applyNumberFormat="1" applyAlignment="1">
      <alignment horizontal="center"/>
    </xf>
    <xf numFmtId="168" fontId="0" fillId="0" borderId="0" xfId="0" applyNumberFormat="1" applyAlignment="1">
      <alignment horizontal="left" wrapText="1"/>
    </xf>
    <xf numFmtId="165" fontId="0" fillId="0" borderId="0" xfId="0" applyNumberFormat="1" applyAlignment="1">
      <alignment horizontal="center"/>
    </xf>
    <xf numFmtId="1" fontId="0" fillId="0" borderId="0" xfId="0" applyNumberFormat="1" applyAlignment="1">
      <alignment horizontal="left"/>
    </xf>
    <xf numFmtId="1" fontId="0" fillId="0" borderId="0" xfId="0" applyNumberFormat="1" applyAlignment="1">
      <alignment horizontal="left" wrapText="1"/>
    </xf>
    <xf numFmtId="0" fontId="21" fillId="0" borderId="9" xfId="0" applyFont="1" applyFill="1" applyBorder="1" applyAlignment="1"/>
    <xf numFmtId="0" fontId="21" fillId="0" borderId="9" xfId="0" applyFont="1" applyFill="1" applyBorder="1" applyAlignment="1">
      <alignment horizontal="left" wrapText="1"/>
    </xf>
    <xf numFmtId="0" fontId="13" fillId="0" borderId="9" xfId="0" applyFont="1" applyFill="1" applyBorder="1" applyAlignment="1">
      <alignment horizontal="left" vertical="top"/>
    </xf>
    <xf numFmtId="1" fontId="13" fillId="0" borderId="9" xfId="0" applyNumberFormat="1" applyFont="1" applyFill="1" applyBorder="1" applyAlignment="1">
      <alignment horizontal="center" vertical="top"/>
    </xf>
    <xf numFmtId="0" fontId="21" fillId="0" borderId="9" xfId="0" applyFont="1" applyFill="1" applyBorder="1" applyAlignment="1">
      <alignment horizontal="center" wrapText="1"/>
    </xf>
    <xf numFmtId="164" fontId="21" fillId="0" borderId="9" xfId="0" applyNumberFormat="1" applyFont="1" applyFill="1" applyBorder="1" applyAlignment="1">
      <alignment horizontal="center" wrapText="1"/>
    </xf>
    <xf numFmtId="1" fontId="21" fillId="0" borderId="9" xfId="0" applyNumberFormat="1" applyFont="1" applyFill="1" applyBorder="1" applyAlignment="1">
      <alignment horizontal="center" wrapText="1"/>
    </xf>
    <xf numFmtId="9" fontId="21" fillId="0" borderId="9" xfId="1" applyFont="1" applyFill="1" applyBorder="1" applyAlignment="1">
      <alignment horizontal="center" wrapText="1"/>
    </xf>
    <xf numFmtId="2" fontId="21" fillId="0" borderId="9" xfId="0" applyNumberFormat="1" applyFont="1" applyFill="1" applyBorder="1" applyAlignment="1">
      <alignment horizontal="center" wrapText="1"/>
    </xf>
    <xf numFmtId="2" fontId="11" fillId="0" borderId="9" xfId="0" applyNumberFormat="1" applyFont="1" applyFill="1" applyBorder="1" applyAlignment="1">
      <alignment horizontal="center" wrapText="1"/>
    </xf>
    <xf numFmtId="165" fontId="21" fillId="0" borderId="9" xfId="0" applyNumberFormat="1" applyFont="1" applyFill="1" applyBorder="1" applyAlignment="1">
      <alignment horizontal="center" wrapText="1"/>
    </xf>
    <xf numFmtId="167" fontId="21" fillId="0" borderId="9" xfId="0" applyNumberFormat="1" applyFont="1" applyFill="1" applyBorder="1" applyAlignment="1">
      <alignment horizontal="center" wrapText="1"/>
    </xf>
    <xf numFmtId="11" fontId="21" fillId="0" borderId="9" xfId="0" applyNumberFormat="1" applyFont="1" applyFill="1" applyBorder="1" applyAlignment="1">
      <alignment horizontal="center" wrapText="1"/>
    </xf>
    <xf numFmtId="1" fontId="30" fillId="0" borderId="9" xfId="0" applyNumberFormat="1" applyFont="1" applyFill="1" applyBorder="1" applyAlignment="1">
      <alignment horizontal="center" wrapText="1"/>
    </xf>
    <xf numFmtId="1" fontId="29" fillId="0" borderId="9" xfId="0" applyNumberFormat="1" applyFont="1" applyFill="1" applyBorder="1" applyAlignment="1">
      <alignment horizontal="left" textRotation="90" wrapText="1"/>
    </xf>
    <xf numFmtId="1" fontId="11" fillId="0" borderId="9" xfId="1" applyNumberFormat="1" applyFont="1" applyFill="1" applyBorder="1" applyAlignment="1">
      <alignment horizontal="center" wrapText="1"/>
    </xf>
    <xf numFmtId="0" fontId="13" fillId="0" borderId="9" xfId="0" applyFont="1" applyFill="1" applyBorder="1" applyAlignment="1">
      <alignment horizontal="center" vertical="top"/>
    </xf>
    <xf numFmtId="164" fontId="13" fillId="0" borderId="9" xfId="0" applyNumberFormat="1" applyFont="1" applyFill="1" applyBorder="1" applyAlignment="1">
      <alignment horizontal="center" vertical="top"/>
    </xf>
    <xf numFmtId="9" fontId="13" fillId="0" borderId="9" xfId="1" applyFont="1" applyFill="1" applyBorder="1" applyAlignment="1">
      <alignment horizontal="center" vertical="top"/>
    </xf>
    <xf numFmtId="2" fontId="13" fillId="0" borderId="9" xfId="0" applyNumberFormat="1" applyFont="1" applyFill="1" applyBorder="1" applyAlignment="1">
      <alignment horizontal="center" vertical="top"/>
    </xf>
    <xf numFmtId="0" fontId="13" fillId="0" borderId="9" xfId="0" applyFont="1" applyFill="1" applyBorder="1"/>
    <xf numFmtId="0" fontId="13" fillId="0" borderId="9" xfId="0" applyFont="1" applyFill="1" applyBorder="1" applyAlignment="1">
      <alignment horizontal="left" vertical="top" wrapText="1"/>
    </xf>
    <xf numFmtId="0" fontId="13" fillId="0" borderId="9" xfId="0" applyFont="1" applyFill="1" applyBorder="1" applyAlignment="1">
      <alignment vertical="top" wrapText="1"/>
    </xf>
    <xf numFmtId="1" fontId="13" fillId="0" borderId="9" xfId="0" applyNumberFormat="1" applyFont="1" applyFill="1" applyBorder="1" applyAlignment="1">
      <alignment horizontal="center" vertical="top" wrapText="1"/>
    </xf>
    <xf numFmtId="2" fontId="25" fillId="0" borderId="9" xfId="0" applyNumberFormat="1" applyFont="1" applyFill="1" applyBorder="1" applyAlignment="1">
      <alignment horizontal="center" vertical="top"/>
    </xf>
    <xf numFmtId="16" fontId="13" fillId="0" borderId="9" xfId="0" applyNumberFormat="1" applyFont="1" applyFill="1" applyBorder="1" applyAlignment="1">
      <alignment horizontal="center" vertical="top"/>
    </xf>
    <xf numFmtId="164" fontId="21" fillId="5" borderId="9" xfId="0" applyNumberFormat="1" applyFont="1" applyFill="1" applyBorder="1" applyAlignment="1">
      <alignment horizontal="center" wrapText="1"/>
    </xf>
    <xf numFmtId="164" fontId="13" fillId="5" borderId="9" xfId="0" applyNumberFormat="1" applyFont="1" applyFill="1" applyBorder="1" applyAlignment="1">
      <alignment horizontal="center" vertical="top"/>
    </xf>
    <xf numFmtId="0" fontId="21" fillId="0" borderId="0" xfId="0" applyFont="1" applyFill="1" applyBorder="1" applyAlignment="1"/>
    <xf numFmtId="164" fontId="21" fillId="5" borderId="0" xfId="0" applyNumberFormat="1" applyFont="1" applyFill="1" applyBorder="1" applyAlignment="1">
      <alignment horizontal="center" wrapText="1"/>
    </xf>
    <xf numFmtId="1" fontId="21" fillId="0" borderId="0" xfId="0" applyNumberFormat="1" applyFont="1" applyFill="1" applyBorder="1" applyAlignment="1">
      <alignment horizontal="center" wrapText="1"/>
    </xf>
    <xf numFmtId="0" fontId="13" fillId="0" borderId="0" xfId="0" applyFont="1" applyFill="1" applyBorder="1" applyAlignment="1">
      <alignment horizontal="left" vertical="top"/>
    </xf>
    <xf numFmtId="0" fontId="13" fillId="0" borderId="0" xfId="0" applyFont="1" applyFill="1" applyBorder="1" applyAlignment="1">
      <alignment horizontal="center" vertical="top"/>
    </xf>
    <xf numFmtId="164" fontId="13" fillId="5" borderId="0" xfId="0" applyNumberFormat="1" applyFont="1" applyFill="1" applyBorder="1" applyAlignment="1">
      <alignment horizontal="center" vertical="top"/>
    </xf>
    <xf numFmtId="2" fontId="13" fillId="0" borderId="0" xfId="0" applyNumberFormat="1" applyFont="1" applyFill="1" applyBorder="1" applyAlignment="1">
      <alignment horizontal="center" vertical="top"/>
    </xf>
    <xf numFmtId="0" fontId="13" fillId="0" borderId="0" xfId="0" applyFont="1" applyFill="1" applyBorder="1"/>
    <xf numFmtId="0" fontId="13" fillId="0" borderId="0" xfId="0" applyFont="1" applyFill="1" applyBorder="1" applyAlignment="1">
      <alignment horizontal="left" vertical="top" wrapText="1"/>
    </xf>
    <xf numFmtId="0" fontId="13" fillId="0" borderId="0" xfId="0" applyFont="1" applyFill="1" applyBorder="1" applyAlignment="1">
      <alignment vertical="top" wrapText="1"/>
    </xf>
    <xf numFmtId="166" fontId="13" fillId="0" borderId="0" xfId="0" applyNumberFormat="1" applyFont="1" applyFill="1" applyBorder="1" applyAlignment="1">
      <alignment horizontal="left" vertical="top"/>
    </xf>
    <xf numFmtId="2" fontId="13" fillId="0" borderId="0" xfId="0" applyNumberFormat="1" applyFont="1" applyFill="1" applyBorder="1" applyAlignment="1">
      <alignment vertical="top"/>
    </xf>
    <xf numFmtId="164" fontId="13" fillId="5" borderId="0" xfId="0" applyNumberFormat="1" applyFont="1" applyFill="1" applyBorder="1" applyAlignment="1">
      <alignment vertical="top"/>
    </xf>
    <xf numFmtId="1" fontId="13" fillId="0" borderId="0" xfId="0" applyNumberFormat="1" applyFont="1" applyFill="1" applyBorder="1" applyAlignment="1">
      <alignment vertical="top"/>
    </xf>
    <xf numFmtId="165" fontId="13" fillId="0" borderId="0" xfId="0" applyNumberFormat="1" applyFont="1" applyFill="1" applyBorder="1" applyAlignment="1">
      <alignment vertical="top"/>
    </xf>
    <xf numFmtId="11" fontId="13" fillId="0" borderId="0" xfId="0" applyNumberFormat="1" applyFont="1" applyFill="1" applyBorder="1" applyAlignment="1">
      <alignment vertical="top"/>
    </xf>
    <xf numFmtId="164" fontId="13" fillId="0" borderId="0" xfId="0" applyNumberFormat="1" applyFont="1" applyFill="1" applyBorder="1" applyAlignment="1">
      <alignment vertical="top"/>
    </xf>
    <xf numFmtId="1" fontId="13" fillId="0" borderId="0" xfId="1" applyNumberFormat="1" applyFont="1" applyFill="1" applyBorder="1" applyAlignment="1">
      <alignment vertical="top"/>
    </xf>
    <xf numFmtId="2" fontId="13" fillId="0" borderId="0" xfId="0" applyNumberFormat="1" applyFont="1" applyFill="1" applyBorder="1" applyAlignment="1">
      <alignment vertical="top" wrapText="1"/>
    </xf>
    <xf numFmtId="1" fontId="13" fillId="13" borderId="9" xfId="0" applyNumberFormat="1" applyFont="1" applyFill="1" applyBorder="1" applyAlignment="1">
      <alignment horizontal="center" vertical="top"/>
    </xf>
    <xf numFmtId="2" fontId="13" fillId="13" borderId="9" xfId="0" applyNumberFormat="1" applyFont="1" applyFill="1" applyBorder="1" applyAlignment="1">
      <alignment horizontal="center" vertical="top"/>
    </xf>
    <xf numFmtId="165" fontId="13" fillId="13" borderId="9" xfId="0" applyNumberFormat="1" applyFont="1" applyFill="1" applyBorder="1" applyAlignment="1">
      <alignment horizontal="center" vertical="top"/>
    </xf>
    <xf numFmtId="167" fontId="13" fillId="13" borderId="9" xfId="0" applyNumberFormat="1" applyFont="1" applyFill="1" applyBorder="1" applyAlignment="1">
      <alignment horizontal="center" vertical="top"/>
    </xf>
    <xf numFmtId="168" fontId="13" fillId="13" borderId="9" xfId="0" applyNumberFormat="1" applyFont="1" applyFill="1" applyBorder="1" applyAlignment="1">
      <alignment horizontal="center" vertical="top"/>
    </xf>
    <xf numFmtId="2" fontId="25" fillId="13" borderId="9" xfId="0" applyNumberFormat="1" applyFont="1" applyFill="1" applyBorder="1" applyAlignment="1">
      <alignment horizontal="center" vertical="top"/>
    </xf>
    <xf numFmtId="2" fontId="13" fillId="13" borderId="9" xfId="0" applyNumberFormat="1" applyFont="1" applyFill="1" applyBorder="1" applyAlignment="1">
      <alignment horizontal="center" vertical="top" wrapText="1"/>
    </xf>
    <xf numFmtId="1" fontId="13" fillId="13" borderId="9" xfId="1" applyNumberFormat="1" applyFont="1" applyFill="1" applyBorder="1" applyAlignment="1">
      <alignment horizontal="center" vertical="top"/>
    </xf>
    <xf numFmtId="0" fontId="13" fillId="14" borderId="9" xfId="0" applyFont="1" applyFill="1" applyBorder="1" applyAlignment="1">
      <alignment horizontal="left" vertical="top" wrapText="1"/>
    </xf>
    <xf numFmtId="0" fontId="13" fillId="14" borderId="9" xfId="0" applyFont="1" applyFill="1" applyBorder="1" applyAlignment="1">
      <alignment horizontal="left" vertical="top"/>
    </xf>
    <xf numFmtId="0" fontId="13" fillId="13" borderId="9" xfId="0" applyFont="1" applyFill="1" applyBorder="1" applyAlignment="1">
      <alignment horizontal="left" vertical="top" wrapText="1"/>
    </xf>
    <xf numFmtId="0" fontId="13" fillId="13" borderId="9" xfId="0" applyFont="1" applyFill="1" applyBorder="1" applyAlignment="1">
      <alignment horizontal="left" vertical="top"/>
    </xf>
    <xf numFmtId="1" fontId="21" fillId="5" borderId="9" xfId="0" applyNumberFormat="1" applyFont="1" applyFill="1" applyBorder="1" applyAlignment="1">
      <alignment horizontal="center" wrapText="1"/>
    </xf>
    <xf numFmtId="1" fontId="21" fillId="5" borderId="0" xfId="0" applyNumberFormat="1" applyFont="1" applyFill="1" applyBorder="1" applyAlignment="1">
      <alignment horizontal="center" wrapText="1"/>
    </xf>
    <xf numFmtId="1" fontId="21" fillId="13" borderId="9" xfId="0" applyNumberFormat="1" applyFont="1" applyFill="1" applyBorder="1" applyAlignment="1">
      <alignment horizontal="center" wrapText="1"/>
    </xf>
    <xf numFmtId="0" fontId="33" fillId="0" borderId="9" xfId="0" applyFont="1" applyFill="1" applyBorder="1" applyAlignment="1">
      <alignment horizontal="left" vertical="top"/>
    </xf>
    <xf numFmtId="0" fontId="33" fillId="0" borderId="9" xfId="0" applyFont="1" applyFill="1" applyBorder="1" applyAlignment="1">
      <alignment horizontal="center" vertical="top"/>
    </xf>
    <xf numFmtId="164" fontId="33" fillId="5" borderId="9" xfId="0" applyNumberFormat="1" applyFont="1" applyFill="1" applyBorder="1" applyAlignment="1">
      <alignment horizontal="center" vertical="top"/>
    </xf>
    <xf numFmtId="1" fontId="33" fillId="0" borderId="9" xfId="0" applyNumberFormat="1" applyFont="1" applyFill="1" applyBorder="1" applyAlignment="1">
      <alignment horizontal="center" vertical="top"/>
    </xf>
    <xf numFmtId="1" fontId="33" fillId="13" borderId="9" xfId="0" applyNumberFormat="1" applyFont="1" applyFill="1" applyBorder="1" applyAlignment="1">
      <alignment horizontal="center" vertical="top"/>
    </xf>
    <xf numFmtId="9" fontId="33" fillId="0" borderId="9" xfId="1" applyFont="1" applyFill="1" applyBorder="1" applyAlignment="1">
      <alignment horizontal="center" vertical="top"/>
    </xf>
    <xf numFmtId="2" fontId="33" fillId="0" borderId="9" xfId="0" applyNumberFormat="1" applyFont="1" applyFill="1" applyBorder="1" applyAlignment="1">
      <alignment horizontal="center" vertical="top"/>
    </xf>
    <xf numFmtId="2" fontId="33" fillId="13" borderId="9" xfId="0" applyNumberFormat="1" applyFont="1" applyFill="1" applyBorder="1" applyAlignment="1">
      <alignment horizontal="center" vertical="top"/>
    </xf>
    <xf numFmtId="165" fontId="33" fillId="13" borderId="9" xfId="0" applyNumberFormat="1" applyFont="1" applyFill="1" applyBorder="1" applyAlignment="1">
      <alignment horizontal="center" vertical="top"/>
    </xf>
    <xf numFmtId="167" fontId="33" fillId="13" borderId="9" xfId="0" applyNumberFormat="1" applyFont="1" applyFill="1" applyBorder="1" applyAlignment="1">
      <alignment horizontal="center" vertical="top"/>
    </xf>
    <xf numFmtId="168" fontId="33" fillId="13" borderId="9" xfId="0" applyNumberFormat="1" applyFont="1" applyFill="1" applyBorder="1" applyAlignment="1">
      <alignment horizontal="center" vertical="top"/>
    </xf>
    <xf numFmtId="164" fontId="33" fillId="0" borderId="9" xfId="0" applyNumberFormat="1" applyFont="1" applyFill="1" applyBorder="1" applyAlignment="1">
      <alignment horizontal="center" vertical="top"/>
    </xf>
    <xf numFmtId="2" fontId="33" fillId="13" borderId="9" xfId="0" applyNumberFormat="1" applyFont="1" applyFill="1" applyBorder="1" applyAlignment="1">
      <alignment horizontal="center" vertical="top" wrapText="1"/>
    </xf>
    <xf numFmtId="0" fontId="33" fillId="0" borderId="9" xfId="0" applyFont="1" applyFill="1" applyBorder="1"/>
    <xf numFmtId="1" fontId="33" fillId="13" borderId="9" xfId="1" applyNumberFormat="1" applyFont="1" applyFill="1" applyBorder="1" applyAlignment="1">
      <alignment horizontal="center" vertical="top"/>
    </xf>
    <xf numFmtId="0" fontId="33" fillId="13" borderId="9" xfId="0" applyFont="1" applyFill="1" applyBorder="1" applyAlignment="1">
      <alignment horizontal="left" vertical="top" wrapText="1"/>
    </xf>
    <xf numFmtId="0" fontId="33" fillId="13" borderId="9" xfId="0" applyFont="1" applyFill="1" applyBorder="1" applyAlignment="1">
      <alignment horizontal="left" vertical="top"/>
    </xf>
    <xf numFmtId="0" fontId="33" fillId="0" borderId="9" xfId="0" applyFont="1" applyFill="1" applyBorder="1" applyAlignment="1">
      <alignment vertical="top" wrapText="1"/>
    </xf>
    <xf numFmtId="164" fontId="33" fillId="5" borderId="0" xfId="0" applyNumberFormat="1" applyFont="1" applyFill="1" applyBorder="1" applyAlignment="1">
      <alignment horizontal="center" vertical="top"/>
    </xf>
    <xf numFmtId="0" fontId="33" fillId="0" borderId="0" xfId="0" applyFont="1" applyFill="1" applyBorder="1" applyAlignment="1">
      <alignment vertical="top"/>
    </xf>
    <xf numFmtId="1" fontId="34" fillId="13" borderId="9" xfId="0" applyNumberFormat="1" applyFont="1" applyFill="1" applyBorder="1" applyAlignment="1">
      <alignment horizontal="center" vertical="top"/>
    </xf>
    <xf numFmtId="2" fontId="34" fillId="13" borderId="9" xfId="0" applyNumberFormat="1" applyFont="1" applyFill="1" applyBorder="1" applyAlignment="1">
      <alignment horizontal="center" vertical="top"/>
    </xf>
    <xf numFmtId="2" fontId="34" fillId="0" borderId="9" xfId="0" applyNumberFormat="1" applyFont="1" applyFill="1" applyBorder="1" applyAlignment="1">
      <alignment horizontal="center" vertical="top"/>
    </xf>
    <xf numFmtId="1" fontId="33" fillId="0" borderId="9" xfId="0" applyNumberFormat="1" applyFont="1" applyFill="1" applyBorder="1" applyAlignment="1">
      <alignment horizontal="center" vertical="top" wrapText="1"/>
    </xf>
    <xf numFmtId="1" fontId="34" fillId="13" borderId="9" xfId="1" applyNumberFormat="1" applyFont="1" applyFill="1" applyBorder="1" applyAlignment="1">
      <alignment horizontal="center" vertical="top"/>
    </xf>
    <xf numFmtId="0" fontId="33" fillId="0" borderId="9" xfId="0" applyFont="1" applyFill="1" applyBorder="1" applyAlignment="1">
      <alignment horizontal="left" vertical="top" wrapText="1"/>
    </xf>
    <xf numFmtId="0" fontId="13" fillId="14" borderId="9" xfId="0" applyFont="1" applyFill="1" applyBorder="1" applyAlignment="1">
      <alignment horizontal="center" vertical="top"/>
    </xf>
    <xf numFmtId="164" fontId="13" fillId="14" borderId="9" xfId="0" applyNumberFormat="1" applyFont="1" applyFill="1" applyBorder="1" applyAlignment="1">
      <alignment horizontal="center" vertical="top"/>
    </xf>
    <xf numFmtId="2" fontId="13" fillId="14" borderId="9" xfId="0" applyNumberFormat="1" applyFont="1" applyFill="1" applyBorder="1" applyAlignment="1">
      <alignment horizontal="center" vertical="top"/>
    </xf>
    <xf numFmtId="1" fontId="13" fillId="14" borderId="9" xfId="0" applyNumberFormat="1" applyFont="1" applyFill="1" applyBorder="1" applyAlignment="1">
      <alignment horizontal="center" vertical="top"/>
    </xf>
    <xf numFmtId="9" fontId="13" fillId="14" borderId="9" xfId="1" applyFont="1" applyFill="1" applyBorder="1" applyAlignment="1">
      <alignment horizontal="center" vertical="top"/>
    </xf>
    <xf numFmtId="165" fontId="13" fillId="14" borderId="9" xfId="0" applyNumberFormat="1" applyFont="1" applyFill="1" applyBorder="1" applyAlignment="1">
      <alignment horizontal="center" vertical="top"/>
    </xf>
    <xf numFmtId="167" fontId="13" fillId="14" borderId="9" xfId="0" applyNumberFormat="1" applyFont="1" applyFill="1" applyBorder="1" applyAlignment="1">
      <alignment horizontal="center" vertical="top"/>
    </xf>
    <xf numFmtId="168" fontId="13" fillId="14" borderId="9" xfId="0" applyNumberFormat="1" applyFont="1" applyFill="1" applyBorder="1" applyAlignment="1">
      <alignment horizontal="center" vertical="top"/>
    </xf>
    <xf numFmtId="2" fontId="13" fillId="14" borderId="9" xfId="0" applyNumberFormat="1" applyFont="1" applyFill="1" applyBorder="1" applyAlignment="1">
      <alignment horizontal="center" vertical="top" wrapText="1"/>
    </xf>
    <xf numFmtId="0" fontId="13" fillId="14" borderId="9" xfId="0" applyFont="1" applyFill="1" applyBorder="1"/>
    <xf numFmtId="1" fontId="13" fillId="14" borderId="9" xfId="1" applyNumberFormat="1" applyFont="1" applyFill="1" applyBorder="1" applyAlignment="1">
      <alignment horizontal="center" vertical="top"/>
    </xf>
    <xf numFmtId="0" fontId="13" fillId="14" borderId="9" xfId="0" applyFont="1" applyFill="1" applyBorder="1" applyAlignment="1">
      <alignment vertical="top" wrapText="1"/>
    </xf>
    <xf numFmtId="164" fontId="13" fillId="14" borderId="0" xfId="0" applyNumberFormat="1" applyFont="1" applyFill="1" applyBorder="1" applyAlignment="1">
      <alignment horizontal="center" vertical="top"/>
    </xf>
    <xf numFmtId="0" fontId="13" fillId="14" borderId="0" xfId="0" applyFont="1" applyFill="1" applyBorder="1" applyAlignment="1">
      <alignment vertical="top"/>
    </xf>
    <xf numFmtId="2" fontId="25" fillId="14" borderId="9" xfId="0" applyNumberFormat="1" applyFont="1" applyFill="1" applyBorder="1" applyAlignment="1">
      <alignment horizontal="center" vertical="top"/>
    </xf>
    <xf numFmtId="165" fontId="10" fillId="0" borderId="22" xfId="0" applyNumberFormat="1" applyFont="1" applyFill="1" applyBorder="1" applyAlignment="1">
      <alignment horizontal="center" vertical="center" wrapText="1"/>
    </xf>
    <xf numFmtId="165" fontId="10" fillId="0" borderId="9" xfId="0" applyNumberFormat="1" applyFont="1" applyFill="1" applyBorder="1" applyAlignment="1">
      <alignment horizontal="center" vertical="center" wrapText="1"/>
    </xf>
    <xf numFmtId="165" fontId="10" fillId="0" borderId="0" xfId="0" applyNumberFormat="1" applyFont="1" applyFill="1" applyBorder="1" applyAlignment="1">
      <alignment horizontal="center" vertical="center" wrapText="1"/>
    </xf>
    <xf numFmtId="165" fontId="10" fillId="0" borderId="0" xfId="0" applyNumberFormat="1" applyFont="1" applyFill="1" applyBorder="1" applyAlignment="1">
      <alignment vertical="center" wrapText="1"/>
    </xf>
    <xf numFmtId="1" fontId="21" fillId="13" borderId="9" xfId="0" applyNumberFormat="1" applyFont="1" applyFill="1" applyBorder="1" applyAlignment="1">
      <alignment horizontal="center"/>
    </xf>
    <xf numFmtId="164" fontId="13" fillId="5" borderId="23" xfId="0" applyNumberFormat="1" applyFont="1" applyFill="1" applyBorder="1" applyAlignment="1">
      <alignment horizontal="center" vertical="top"/>
    </xf>
    <xf numFmtId="0" fontId="13" fillId="13" borderId="23" xfId="0" applyFont="1" applyFill="1" applyBorder="1" applyAlignment="1">
      <alignment horizontal="left" vertical="top" wrapText="1"/>
    </xf>
    <xf numFmtId="0" fontId="13" fillId="13" borderId="24" xfId="0" applyFont="1" applyFill="1" applyBorder="1" applyAlignment="1">
      <alignment horizontal="center" vertical="top" wrapText="1"/>
    </xf>
    <xf numFmtId="0" fontId="13" fillId="0" borderId="0" xfId="0" applyFont="1" applyFill="1" applyBorder="1" applyAlignment="1">
      <alignment horizontal="center" vertical="top" wrapText="1"/>
    </xf>
    <xf numFmtId="164" fontId="21" fillId="5" borderId="23" xfId="0" applyNumberFormat="1" applyFont="1" applyFill="1" applyBorder="1" applyAlignment="1">
      <alignment horizontal="center" wrapText="1"/>
    </xf>
    <xf numFmtId="1" fontId="21" fillId="5" borderId="23" xfId="0" applyNumberFormat="1" applyFont="1" applyFill="1" applyBorder="1" applyAlignment="1">
      <alignment horizontal="center" wrapText="1"/>
    </xf>
    <xf numFmtId="0" fontId="21" fillId="15" borderId="25" xfId="0" applyFont="1" applyFill="1" applyBorder="1" applyAlignment="1">
      <alignment horizontal="left" wrapText="1"/>
    </xf>
    <xf numFmtId="0" fontId="21" fillId="15" borderId="26" xfId="0" applyFont="1" applyFill="1" applyBorder="1" applyAlignment="1">
      <alignment horizontal="center" wrapText="1"/>
    </xf>
    <xf numFmtId="1" fontId="21" fillId="15" borderId="23" xfId="0" applyNumberFormat="1" applyFont="1" applyFill="1" applyBorder="1" applyAlignment="1">
      <alignment horizontal="center" wrapText="1"/>
    </xf>
    <xf numFmtId="1" fontId="21" fillId="15" borderId="24" xfId="0" applyNumberFormat="1" applyFont="1" applyFill="1" applyBorder="1" applyAlignment="1">
      <alignment horizontal="center" wrapText="1"/>
    </xf>
    <xf numFmtId="0" fontId="33" fillId="13" borderId="23" xfId="0" applyFont="1" applyFill="1" applyBorder="1" applyAlignment="1">
      <alignment horizontal="left" vertical="top" wrapText="1"/>
    </xf>
    <xf numFmtId="0" fontId="33" fillId="13" borderId="24" xfId="0" applyFont="1" applyFill="1" applyBorder="1" applyAlignment="1">
      <alignment horizontal="center" vertical="top" wrapText="1"/>
    </xf>
    <xf numFmtId="0" fontId="21" fillId="0" borderId="6" xfId="0" applyFont="1" applyFill="1" applyBorder="1" applyAlignment="1">
      <alignment horizontal="center" wrapText="1"/>
    </xf>
    <xf numFmtId="0" fontId="13" fillId="0" borderId="29" xfId="0" applyFont="1" applyFill="1" applyBorder="1" applyAlignment="1">
      <alignment vertical="top"/>
    </xf>
    <xf numFmtId="0" fontId="13" fillId="0" borderId="7" xfId="0" applyFont="1" applyFill="1" applyBorder="1" applyAlignment="1">
      <alignment horizontal="left" vertical="top"/>
    </xf>
    <xf numFmtId="0" fontId="13" fillId="0" borderId="30" xfId="0" applyFont="1" applyFill="1" applyBorder="1" applyAlignment="1">
      <alignment vertical="top"/>
    </xf>
    <xf numFmtId="0" fontId="13" fillId="0" borderId="31" xfId="0" applyFont="1" applyFill="1" applyBorder="1" applyAlignment="1">
      <alignment vertical="top"/>
    </xf>
    <xf numFmtId="0" fontId="13" fillId="0" borderId="8" xfId="0" applyFont="1" applyFill="1" applyBorder="1" applyAlignment="1">
      <alignment vertical="top"/>
    </xf>
    <xf numFmtId="0" fontId="13" fillId="0" borderId="8" xfId="0" applyFont="1" applyFill="1" applyBorder="1" applyAlignment="1">
      <alignment horizontal="left" vertical="top"/>
    </xf>
    <xf numFmtId="0" fontId="13" fillId="0" borderId="29" xfId="0" applyFont="1" applyFill="1" applyBorder="1" applyAlignment="1">
      <alignment horizontal="right" vertical="top"/>
    </xf>
    <xf numFmtId="0" fontId="13" fillId="0" borderId="31" xfId="0" applyFont="1" applyFill="1" applyBorder="1" applyAlignment="1">
      <alignment vertical="top" wrapText="1"/>
    </xf>
    <xf numFmtId="0" fontId="38" fillId="0" borderId="9" xfId="0" applyFont="1" applyFill="1" applyBorder="1" applyAlignment="1"/>
    <xf numFmtId="164" fontId="38" fillId="5" borderId="9" xfId="0" applyNumberFormat="1" applyFont="1" applyFill="1" applyBorder="1" applyAlignment="1"/>
    <xf numFmtId="1" fontId="38" fillId="0" borderId="9" xfId="0" applyNumberFormat="1" applyFont="1" applyFill="1" applyBorder="1" applyAlignment="1"/>
    <xf numFmtId="165" fontId="38" fillId="0" borderId="9" xfId="0" applyNumberFormat="1" applyFont="1" applyFill="1" applyBorder="1" applyAlignment="1"/>
    <xf numFmtId="0" fontId="38" fillId="0" borderId="9" xfId="0" applyFont="1" applyFill="1" applyBorder="1" applyAlignment="1">
      <alignment wrapText="1"/>
    </xf>
    <xf numFmtId="0" fontId="38" fillId="0" borderId="9" xfId="0" applyFont="1" applyFill="1" applyBorder="1" applyAlignment="1">
      <alignment horizontal="left"/>
    </xf>
    <xf numFmtId="1" fontId="39" fillId="0" borderId="9" xfId="0" applyNumberFormat="1" applyFont="1" applyFill="1" applyBorder="1" applyAlignment="1"/>
    <xf numFmtId="2" fontId="37" fillId="0" borderId="9" xfId="0" applyNumberFormat="1" applyFont="1" applyFill="1" applyBorder="1" applyAlignment="1"/>
    <xf numFmtId="2" fontId="38" fillId="0" borderId="9" xfId="0" applyNumberFormat="1" applyFont="1" applyFill="1" applyBorder="1" applyAlignment="1"/>
    <xf numFmtId="11" fontId="38" fillId="0" borderId="9" xfId="0" applyNumberFormat="1" applyFont="1" applyFill="1" applyBorder="1" applyAlignment="1"/>
    <xf numFmtId="1" fontId="38" fillId="0" borderId="9" xfId="1" applyNumberFormat="1" applyFont="1" applyFill="1" applyBorder="1" applyAlignment="1"/>
    <xf numFmtId="0" fontId="38" fillId="0" borderId="9" xfId="0" applyFont="1" applyFill="1" applyBorder="1" applyAlignment="1">
      <alignment horizontal="center"/>
    </xf>
    <xf numFmtId="0" fontId="38" fillId="0" borderId="0" xfId="0" applyFont="1" applyFill="1" applyBorder="1" applyAlignment="1"/>
    <xf numFmtId="1" fontId="38" fillId="15" borderId="23" xfId="0" applyNumberFormat="1" applyFont="1" applyFill="1" applyBorder="1" applyAlignment="1">
      <alignment horizontal="left"/>
    </xf>
    <xf numFmtId="1" fontId="38" fillId="15" borderId="24" xfId="0" applyNumberFormat="1" applyFont="1" applyFill="1" applyBorder="1" applyAlignment="1">
      <alignment horizontal="center" wrapText="1"/>
    </xf>
    <xf numFmtId="0" fontId="38" fillId="0" borderId="9" xfId="0" applyFont="1" applyFill="1" applyBorder="1" applyAlignment="1">
      <alignment horizontal="left" wrapText="1"/>
    </xf>
    <xf numFmtId="164" fontId="38" fillId="5" borderId="0" xfId="0" applyNumberFormat="1" applyFont="1" applyFill="1" applyBorder="1" applyAlignment="1"/>
    <xf numFmtId="1" fontId="36" fillId="0" borderId="0" xfId="0" applyNumberFormat="1" applyFont="1" applyFill="1" applyBorder="1" applyAlignment="1">
      <alignment horizontal="left"/>
    </xf>
    <xf numFmtId="0" fontId="36" fillId="0" borderId="0" xfId="0" applyFont="1" applyFill="1" applyBorder="1" applyAlignment="1">
      <alignment vertical="top"/>
    </xf>
    <xf numFmtId="0" fontId="13" fillId="0" borderId="33" xfId="0" applyFont="1" applyFill="1" applyBorder="1" applyAlignment="1">
      <alignment horizontal="right" vertical="center" wrapText="1"/>
    </xf>
    <xf numFmtId="0" fontId="13" fillId="0" borderId="32" xfId="0" applyFont="1" applyFill="1" applyBorder="1" applyAlignment="1">
      <alignment horizontal="center" vertical="center"/>
    </xf>
    <xf numFmtId="0" fontId="13" fillId="0" borderId="5" xfId="0" applyFont="1" applyFill="1" applyBorder="1" applyAlignment="1">
      <alignment horizontal="center" vertical="center"/>
    </xf>
    <xf numFmtId="164" fontId="13" fillId="14" borderId="23" xfId="0" applyNumberFormat="1" applyFont="1" applyFill="1" applyBorder="1" applyAlignment="1">
      <alignment horizontal="center" vertical="top"/>
    </xf>
    <xf numFmtId="0" fontId="13" fillId="0" borderId="7" xfId="0" applyFont="1" applyFill="1" applyBorder="1" applyAlignment="1">
      <alignment vertical="top"/>
    </xf>
    <xf numFmtId="0" fontId="13" fillId="0" borderId="31" xfId="0" applyFont="1" applyFill="1" applyBorder="1" applyAlignment="1">
      <alignment horizontal="left" vertical="top"/>
    </xf>
    <xf numFmtId="0" fontId="21" fillId="15" borderId="26" xfId="0" applyFont="1" applyFill="1" applyBorder="1" applyAlignment="1">
      <alignment horizontal="left" wrapText="1"/>
    </xf>
    <xf numFmtId="0" fontId="4" fillId="0" borderId="9" xfId="0" applyFont="1" applyFill="1" applyBorder="1" applyAlignment="1">
      <alignment vertical="top" wrapText="1"/>
    </xf>
    <xf numFmtId="0" fontId="0" fillId="0" borderId="9" xfId="0" applyFont="1" applyFill="1" applyBorder="1" applyAlignment="1">
      <alignment vertical="top" wrapText="1"/>
    </xf>
    <xf numFmtId="0" fontId="29" fillId="0" borderId="9" xfId="0" applyFont="1" applyFill="1" applyBorder="1" applyAlignment="1">
      <alignment horizontal="left" wrapText="1"/>
    </xf>
    <xf numFmtId="2" fontId="3" fillId="0" borderId="12" xfId="0" applyNumberFormat="1" applyFont="1" applyBorder="1" applyAlignment="1">
      <alignment horizontal="center" vertical="center" wrapText="1"/>
    </xf>
    <xf numFmtId="167" fontId="3" fillId="0" borderId="12" xfId="0" applyNumberFormat="1" applyFont="1" applyBorder="1" applyAlignment="1">
      <alignment horizontal="center" vertical="center" wrapText="1"/>
    </xf>
    <xf numFmtId="1" fontId="3" fillId="0" borderId="13" xfId="0" applyNumberFormat="1" applyFont="1" applyBorder="1" applyAlignment="1">
      <alignment horizontal="center" vertical="center" wrapText="1"/>
    </xf>
    <xf numFmtId="1" fontId="3" fillId="0" borderId="15" xfId="0" applyNumberFormat="1" applyFont="1" applyBorder="1" applyAlignment="1">
      <alignment horizontal="center" vertical="center" wrapText="1"/>
    </xf>
    <xf numFmtId="1" fontId="3" fillId="0" borderId="18" xfId="0" applyNumberFormat="1" applyFont="1" applyBorder="1" applyAlignment="1">
      <alignment horizontal="center" vertical="center" wrapText="1"/>
    </xf>
    <xf numFmtId="1" fontId="3" fillId="0" borderId="21"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2" fontId="3" fillId="0" borderId="17" xfId="0" applyNumberFormat="1" applyFont="1" applyBorder="1" applyAlignment="1">
      <alignment horizontal="center" vertical="center" wrapText="1"/>
    </xf>
    <xf numFmtId="2" fontId="3" fillId="0" borderId="20" xfId="0" applyNumberFormat="1" applyFont="1" applyBorder="1" applyAlignment="1">
      <alignment horizontal="center" vertical="center" wrapText="1"/>
    </xf>
    <xf numFmtId="2" fontId="0" fillId="0" borderId="0" xfId="0" applyNumberFormat="1" applyAlignment="1">
      <alignment wrapText="1"/>
    </xf>
    <xf numFmtId="167" fontId="3" fillId="0" borderId="9" xfId="0" applyNumberFormat="1" applyFont="1" applyBorder="1" applyAlignment="1">
      <alignment horizontal="center" vertical="center" wrapText="1"/>
    </xf>
    <xf numFmtId="167" fontId="3" fillId="0" borderId="17" xfId="0" applyNumberFormat="1" applyFont="1" applyBorder="1" applyAlignment="1">
      <alignment horizontal="center" vertical="center" wrapText="1"/>
    </xf>
    <xf numFmtId="167" fontId="3" fillId="0" borderId="20" xfId="0" applyNumberFormat="1" applyFont="1" applyBorder="1" applyAlignment="1">
      <alignment horizontal="center" vertical="center" wrapText="1"/>
    </xf>
    <xf numFmtId="167" fontId="0" fillId="0" borderId="0" xfId="0" applyNumberFormat="1" applyAlignment="1">
      <alignment wrapText="1"/>
    </xf>
    <xf numFmtId="0" fontId="3" fillId="0" borderId="34" xfId="0" applyFont="1" applyBorder="1" applyAlignment="1">
      <alignment vertical="center" wrapText="1"/>
    </xf>
    <xf numFmtId="0" fontId="3" fillId="0" borderId="22" xfId="0" applyFont="1" applyBorder="1" applyAlignment="1">
      <alignment horizontal="center" vertical="center" wrapText="1"/>
    </xf>
    <xf numFmtId="1" fontId="3" fillId="0" borderId="22" xfId="0" applyNumberFormat="1" applyFont="1" applyBorder="1" applyAlignment="1">
      <alignment horizontal="center" vertical="center" wrapText="1"/>
    </xf>
    <xf numFmtId="2" fontId="3" fillId="0" borderId="22" xfId="0" applyNumberFormat="1" applyFont="1" applyBorder="1" applyAlignment="1">
      <alignment horizontal="center" vertical="center" wrapText="1"/>
    </xf>
    <xf numFmtId="167" fontId="3" fillId="0" borderId="22" xfId="0" applyNumberFormat="1" applyFont="1" applyBorder="1" applyAlignment="1">
      <alignment horizontal="center" vertical="center" wrapText="1"/>
    </xf>
    <xf numFmtId="1" fontId="3" fillId="0" borderId="35" xfId="0" applyNumberFormat="1" applyFont="1" applyBorder="1" applyAlignment="1">
      <alignment horizontal="center" vertical="center" wrapText="1"/>
    </xf>
    <xf numFmtId="0" fontId="3" fillId="12" borderId="11" xfId="0" applyFont="1" applyFill="1" applyBorder="1" applyAlignment="1">
      <alignment wrapText="1"/>
    </xf>
    <xf numFmtId="0" fontId="3" fillId="12" borderId="12" xfId="0" applyFont="1" applyFill="1" applyBorder="1" applyAlignment="1">
      <alignment horizontal="center" wrapText="1"/>
    </xf>
    <xf numFmtId="1" fontId="3" fillId="12" borderId="12" xfId="0" applyNumberFormat="1" applyFont="1" applyFill="1" applyBorder="1" applyAlignment="1">
      <alignment horizontal="center" textRotation="90" wrapText="1"/>
    </xf>
    <xf numFmtId="2" fontId="3" fillId="12" borderId="12" xfId="0" applyNumberFormat="1" applyFont="1" applyFill="1" applyBorder="1" applyAlignment="1">
      <alignment horizontal="center" textRotation="90" wrapText="1"/>
    </xf>
    <xf numFmtId="167" fontId="3" fillId="12" borderId="12" xfId="0" applyNumberFormat="1" applyFont="1" applyFill="1" applyBorder="1" applyAlignment="1">
      <alignment horizontal="center" textRotation="90" wrapText="1"/>
    </xf>
    <xf numFmtId="1" fontId="3" fillId="12" borderId="13" xfId="0" applyNumberFormat="1" applyFont="1" applyFill="1" applyBorder="1" applyAlignment="1">
      <alignment horizontal="center" textRotation="90" wrapText="1"/>
    </xf>
    <xf numFmtId="0" fontId="3" fillId="12" borderId="16" xfId="0" applyFont="1" applyFill="1" applyBorder="1" applyAlignment="1">
      <alignment wrapText="1"/>
    </xf>
    <xf numFmtId="0" fontId="3" fillId="12" borderId="17" xfId="0" applyFont="1" applyFill="1" applyBorder="1" applyAlignment="1">
      <alignment horizontal="center" wrapText="1"/>
    </xf>
    <xf numFmtId="1" fontId="3" fillId="12" borderId="17" xfId="0" applyNumberFormat="1" applyFont="1" applyFill="1" applyBorder="1" applyAlignment="1">
      <alignment horizontal="center" wrapText="1"/>
    </xf>
    <xf numFmtId="2" fontId="3" fillId="12" borderId="17" xfId="0" applyNumberFormat="1" applyFont="1" applyFill="1" applyBorder="1" applyAlignment="1">
      <alignment horizontal="center" wrapText="1"/>
    </xf>
    <xf numFmtId="167" fontId="3" fillId="12" borderId="17" xfId="0" applyNumberFormat="1" applyFont="1" applyFill="1" applyBorder="1" applyAlignment="1">
      <alignment horizontal="center" wrapText="1"/>
    </xf>
    <xf numFmtId="1" fontId="3" fillId="12" borderId="18" xfId="0" applyNumberFormat="1" applyFont="1" applyFill="1" applyBorder="1" applyAlignment="1">
      <alignment horizontal="center" wrapText="1"/>
    </xf>
    <xf numFmtId="2" fontId="0" fillId="0" borderId="0" xfId="0" applyNumberFormat="1" applyFont="1" applyAlignment="1">
      <alignment wrapText="1"/>
    </xf>
    <xf numFmtId="0" fontId="0" fillId="0" borderId="0" xfId="0" applyNumberFormat="1" applyAlignment="1" applyProtection="1">
      <alignment horizontal="left"/>
      <protection locked="0"/>
    </xf>
    <xf numFmtId="2" fontId="21" fillId="0" borderId="9" xfId="0" applyNumberFormat="1" applyFont="1" applyFill="1" applyBorder="1" applyAlignment="1">
      <alignment horizontal="left" wrapText="1"/>
    </xf>
    <xf numFmtId="2" fontId="13" fillId="0" borderId="0" xfId="0" applyNumberFormat="1" applyFont="1" applyFill="1" applyBorder="1" applyAlignment="1">
      <alignment horizontal="left" vertical="top" wrapText="1"/>
    </xf>
    <xf numFmtId="0" fontId="13" fillId="0" borderId="9" xfId="0" applyNumberFormat="1" applyFont="1" applyFill="1" applyBorder="1" applyAlignment="1">
      <alignment horizontal="center" vertical="top"/>
    </xf>
    <xf numFmtId="0" fontId="33" fillId="0" borderId="9" xfId="0" applyNumberFormat="1" applyFont="1" applyFill="1" applyBorder="1" applyAlignment="1">
      <alignment horizontal="center" vertical="top"/>
    </xf>
    <xf numFmtId="0" fontId="13" fillId="14" borderId="9" xfId="0" applyNumberFormat="1" applyFont="1" applyFill="1" applyBorder="1" applyAlignment="1">
      <alignment horizontal="center" vertical="top"/>
    </xf>
    <xf numFmtId="0" fontId="0" fillId="16" borderId="0" xfId="0" applyFill="1" applyAlignment="1">
      <alignment horizontal="left"/>
    </xf>
    <xf numFmtId="0" fontId="0" fillId="17" borderId="0" xfId="0" applyNumberFormat="1" applyFill="1" applyAlignment="1" applyProtection="1">
      <alignment horizontal="left"/>
      <protection locked="0"/>
    </xf>
    <xf numFmtId="2" fontId="24" fillId="0" borderId="0" xfId="0" applyNumberFormat="1" applyFont="1" applyAlignment="1" applyProtection="1">
      <alignment horizontal="center" wrapText="1"/>
      <protection locked="0"/>
    </xf>
    <xf numFmtId="0" fontId="24" fillId="0" borderId="0" xfId="0" applyNumberFormat="1" applyFont="1" applyAlignment="1" applyProtection="1">
      <alignment horizontal="center" wrapText="1"/>
      <protection locked="0"/>
    </xf>
    <xf numFmtId="0" fontId="24" fillId="0" borderId="0" xfId="0" applyFont="1" applyAlignment="1">
      <alignment horizontal="center" wrapText="1"/>
    </xf>
    <xf numFmtId="2" fontId="0" fillId="0" borderId="0" xfId="0" applyNumberFormat="1" applyAlignment="1" applyProtection="1">
      <alignment horizontal="center"/>
      <protection locked="0"/>
    </xf>
    <xf numFmtId="0" fontId="0" fillId="0" borderId="0" xfId="0" applyNumberFormat="1" applyAlignment="1" applyProtection="1">
      <alignment horizontal="center"/>
      <protection locked="0"/>
    </xf>
    <xf numFmtId="1" fontId="0" fillId="0" borderId="0" xfId="0" applyNumberFormat="1" applyAlignment="1" applyProtection="1">
      <alignment horizontal="center"/>
      <protection locked="0"/>
    </xf>
    <xf numFmtId="2" fontId="0" fillId="16" borderId="0" xfId="0" applyNumberFormat="1" applyFill="1" applyAlignment="1">
      <alignment horizontal="center"/>
    </xf>
    <xf numFmtId="0" fontId="0" fillId="16" borderId="0" xfId="0" applyFill="1" applyAlignment="1">
      <alignment horizontal="center"/>
    </xf>
    <xf numFmtId="1" fontId="0" fillId="16" borderId="0" xfId="0" applyNumberFormat="1" applyFill="1" applyAlignment="1">
      <alignment horizontal="center"/>
    </xf>
    <xf numFmtId="0" fontId="0" fillId="16" borderId="0" xfId="0" applyNumberFormat="1" applyFill="1" applyAlignment="1" applyProtection="1">
      <alignment horizontal="center"/>
      <protection locked="0"/>
    </xf>
    <xf numFmtId="2" fontId="0" fillId="17" borderId="0" xfId="0" applyNumberFormat="1" applyFill="1" applyAlignment="1" applyProtection="1">
      <alignment horizontal="center"/>
      <protection locked="0"/>
    </xf>
    <xf numFmtId="0" fontId="0" fillId="17" borderId="0" xfId="0" applyNumberFormat="1" applyFill="1" applyAlignment="1" applyProtection="1">
      <alignment horizontal="center"/>
      <protection locked="0"/>
    </xf>
    <xf numFmtId="1" fontId="0" fillId="17" borderId="0" xfId="0" applyNumberFormat="1" applyFill="1" applyAlignment="1" applyProtection="1">
      <alignment horizontal="center"/>
      <protection locked="0"/>
    </xf>
    <xf numFmtId="0" fontId="0" fillId="17" borderId="0" xfId="0" applyFill="1" applyAlignment="1">
      <alignment horizontal="center"/>
    </xf>
    <xf numFmtId="0" fontId="24" fillId="0" borderId="0" xfId="0" applyNumberFormat="1" applyFont="1" applyAlignment="1" applyProtection="1">
      <alignment horizontal="left" wrapText="1"/>
      <protection locked="0"/>
    </xf>
    <xf numFmtId="0" fontId="0" fillId="0" borderId="0" xfId="0" applyAlignment="1">
      <alignment horizontal="left"/>
    </xf>
    <xf numFmtId="2" fontId="0" fillId="17" borderId="0" xfId="0" applyNumberFormat="1" applyFill="1" applyAlignment="1">
      <alignment horizontal="center"/>
    </xf>
    <xf numFmtId="0" fontId="0" fillId="17" borderId="0" xfId="0" applyFill="1" applyAlignment="1">
      <alignment horizontal="left"/>
    </xf>
    <xf numFmtId="1" fontId="0" fillId="17" borderId="0" xfId="0" applyNumberFormat="1" applyFill="1" applyAlignment="1">
      <alignment horizontal="center"/>
    </xf>
    <xf numFmtId="1" fontId="38" fillId="0" borderId="0" xfId="0" applyNumberFormat="1" applyFont="1" applyFill="1" applyBorder="1" applyAlignment="1"/>
    <xf numFmtId="1" fontId="21" fillId="0" borderId="9" xfId="0" applyNumberFormat="1" applyFont="1" applyFill="1" applyBorder="1" applyAlignment="1">
      <alignment horizontal="left"/>
    </xf>
    <xf numFmtId="1" fontId="21" fillId="0" borderId="9" xfId="0" applyNumberFormat="1" applyFont="1" applyFill="1" applyBorder="1" applyAlignment="1">
      <alignment horizontal="center"/>
    </xf>
    <xf numFmtId="0" fontId="21" fillId="0" borderId="9" xfId="0" applyFont="1" applyFill="1" applyBorder="1" applyAlignment="1">
      <alignment horizontal="left"/>
    </xf>
    <xf numFmtId="0" fontId="21" fillId="0" borderId="9" xfId="0" applyFont="1" applyFill="1" applyBorder="1" applyAlignment="1">
      <alignment horizontal="center"/>
    </xf>
    <xf numFmtId="0" fontId="13" fillId="13" borderId="23" xfId="0" applyFont="1" applyFill="1" applyBorder="1" applyAlignment="1">
      <alignment horizontal="left" vertical="top"/>
    </xf>
    <xf numFmtId="0" fontId="33" fillId="13" borderId="23" xfId="0" applyFont="1" applyFill="1" applyBorder="1" applyAlignment="1">
      <alignment horizontal="left" vertical="top"/>
    </xf>
    <xf numFmtId="1" fontId="38" fillId="15" borderId="24" xfId="0" applyNumberFormat="1" applyFont="1" applyFill="1" applyBorder="1" applyAlignment="1">
      <alignment horizontal="left"/>
    </xf>
    <xf numFmtId="1" fontId="21" fillId="15" borderId="23" xfId="0" applyNumberFormat="1" applyFont="1" applyFill="1" applyBorder="1" applyAlignment="1">
      <alignment horizontal="left"/>
    </xf>
    <xf numFmtId="1" fontId="21" fillId="15" borderId="24" xfId="0" applyNumberFormat="1" applyFont="1" applyFill="1" applyBorder="1" applyAlignment="1">
      <alignment horizontal="left"/>
    </xf>
    <xf numFmtId="0" fontId="13" fillId="13" borderId="24" xfId="0" applyFont="1" applyFill="1" applyBorder="1" applyAlignment="1">
      <alignment horizontal="left" vertical="top"/>
    </xf>
    <xf numFmtId="0" fontId="33" fillId="13" borderId="24" xfId="0" applyFont="1" applyFill="1" applyBorder="1" applyAlignment="1">
      <alignment horizontal="left" vertical="top"/>
    </xf>
    <xf numFmtId="0" fontId="13" fillId="0" borderId="0" xfId="0" applyFont="1" applyFill="1" applyAlignment="1">
      <alignment horizontal="center" vertical="center"/>
    </xf>
    <xf numFmtId="0" fontId="13" fillId="0" borderId="0" xfId="0" applyFont="1" applyFill="1" applyBorder="1" applyAlignment="1">
      <alignment vertical="center"/>
    </xf>
    <xf numFmtId="0" fontId="13" fillId="0" borderId="0" xfId="0" applyFont="1" applyFill="1" applyBorder="1" applyAlignment="1">
      <alignment horizontal="left" vertical="center" wrapText="1"/>
    </xf>
    <xf numFmtId="0" fontId="13" fillId="0" borderId="0" xfId="0" applyFont="1" applyFill="1" applyBorder="1" applyAlignment="1">
      <alignment horizontal="center" vertical="center"/>
    </xf>
    <xf numFmtId="0" fontId="40" fillId="0" borderId="0" xfId="0" applyFont="1" applyFill="1" applyAlignment="1">
      <alignment vertical="center" wrapText="1"/>
    </xf>
    <xf numFmtId="0" fontId="21" fillId="0" borderId="9" xfId="0" applyFont="1" applyFill="1" applyBorder="1" applyAlignment="1">
      <alignment horizontal="center" textRotation="90"/>
    </xf>
    <xf numFmtId="0" fontId="13" fillId="0" borderId="9" xfId="0" applyFont="1" applyFill="1" applyBorder="1" applyAlignment="1">
      <alignment horizontal="center" vertical="center"/>
    </xf>
    <xf numFmtId="0" fontId="21" fillId="0" borderId="24" xfId="0" applyFont="1" applyFill="1" applyBorder="1" applyAlignment="1">
      <alignment horizontal="center" textRotation="90"/>
    </xf>
    <xf numFmtId="0" fontId="13" fillId="0" borderId="24" xfId="0" applyFont="1" applyFill="1" applyBorder="1" applyAlignment="1">
      <alignment horizontal="center" vertical="center"/>
    </xf>
    <xf numFmtId="0" fontId="21" fillId="0" borderId="14" xfId="0" applyFont="1" applyFill="1" applyBorder="1" applyAlignment="1">
      <alignment horizontal="center" textRotation="90"/>
    </xf>
    <xf numFmtId="0" fontId="21" fillId="0" borderId="15" xfId="0" applyFont="1" applyFill="1" applyBorder="1" applyAlignment="1">
      <alignment horizontal="center" textRotation="90"/>
    </xf>
    <xf numFmtId="0" fontId="13" fillId="0" borderId="14" xfId="0" applyFont="1" applyFill="1" applyBorder="1" applyAlignment="1">
      <alignment horizontal="center" vertical="center"/>
    </xf>
    <xf numFmtId="0" fontId="13" fillId="0" borderId="15" xfId="0" applyFont="1" applyFill="1" applyBorder="1" applyAlignment="1">
      <alignment horizontal="center" vertical="center"/>
    </xf>
    <xf numFmtId="0" fontId="13" fillId="0" borderId="16" xfId="0" applyFont="1" applyFill="1" applyBorder="1" applyAlignment="1">
      <alignment horizontal="center" vertical="center"/>
    </xf>
    <xf numFmtId="0" fontId="13" fillId="0" borderId="17" xfId="0" applyFont="1" applyFill="1" applyBorder="1" applyAlignment="1">
      <alignment horizontal="center" vertical="center"/>
    </xf>
    <xf numFmtId="0" fontId="13" fillId="0" borderId="18" xfId="0" applyFont="1" applyFill="1" applyBorder="1" applyAlignment="1">
      <alignment horizontal="center" vertical="center"/>
    </xf>
    <xf numFmtId="0" fontId="13" fillId="0" borderId="37" xfId="0" applyFont="1" applyFill="1" applyBorder="1" applyAlignment="1">
      <alignment horizontal="center" vertical="center"/>
    </xf>
    <xf numFmtId="0" fontId="13" fillId="0" borderId="14" xfId="0" applyFont="1" applyFill="1" applyBorder="1" applyAlignment="1">
      <alignment horizontal="left" vertical="center" wrapText="1"/>
    </xf>
    <xf numFmtId="16" fontId="13" fillId="0" borderId="15" xfId="0" applyNumberFormat="1" applyFont="1" applyFill="1" applyBorder="1" applyAlignment="1">
      <alignment horizontal="center" vertical="center"/>
    </xf>
    <xf numFmtId="0" fontId="13" fillId="0" borderId="16" xfId="0" applyFont="1" applyFill="1" applyBorder="1" applyAlignment="1">
      <alignment horizontal="left" vertical="center" wrapText="1"/>
    </xf>
    <xf numFmtId="0" fontId="40" fillId="0" borderId="39" xfId="0" applyFont="1" applyFill="1" applyBorder="1" applyAlignment="1">
      <alignment vertical="center" wrapText="1"/>
    </xf>
    <xf numFmtId="0" fontId="40" fillId="0" borderId="40" xfId="0" applyFont="1" applyFill="1" applyBorder="1" applyAlignment="1">
      <alignment vertical="center" wrapText="1"/>
    </xf>
    <xf numFmtId="0" fontId="13" fillId="0" borderId="41" xfId="0" applyFont="1" applyFill="1" applyBorder="1" applyAlignment="1">
      <alignment horizontal="center" vertical="center"/>
    </xf>
    <xf numFmtId="0" fontId="13" fillId="0" borderId="42" xfId="0" applyFont="1" applyFill="1" applyBorder="1" applyAlignment="1">
      <alignment horizontal="center" vertical="center"/>
    </xf>
    <xf numFmtId="164" fontId="33" fillId="5" borderId="23" xfId="0" applyNumberFormat="1" applyFont="1" applyFill="1" applyBorder="1" applyAlignment="1">
      <alignment horizontal="center" vertical="top"/>
    </xf>
    <xf numFmtId="0" fontId="33" fillId="13" borderId="25" xfId="0" applyFont="1" applyFill="1" applyBorder="1" applyAlignment="1">
      <alignment horizontal="left" vertical="top" wrapText="1"/>
    </xf>
    <xf numFmtId="0" fontId="33" fillId="13" borderId="26" xfId="0" applyFont="1" applyFill="1" applyBorder="1" applyAlignment="1">
      <alignment horizontal="center" vertical="top" wrapText="1"/>
    </xf>
    <xf numFmtId="49" fontId="13" fillId="0" borderId="9" xfId="0" applyNumberFormat="1" applyFont="1" applyFill="1" applyBorder="1" applyAlignment="1">
      <alignment horizontal="center" vertical="top"/>
    </xf>
    <xf numFmtId="9" fontId="13" fillId="13" borderId="9" xfId="1" applyFont="1" applyFill="1" applyBorder="1" applyAlignment="1">
      <alignment horizontal="center" vertical="top"/>
    </xf>
    <xf numFmtId="1" fontId="41" fillId="13" borderId="9" xfId="0" applyNumberFormat="1" applyFont="1" applyFill="1" applyBorder="1" applyAlignment="1">
      <alignment horizontal="center" vertical="top"/>
    </xf>
    <xf numFmtId="0" fontId="33" fillId="13" borderId="25" xfId="0" applyFont="1" applyFill="1" applyBorder="1" applyAlignment="1">
      <alignment horizontal="left" vertical="top"/>
    </xf>
    <xf numFmtId="0" fontId="33" fillId="13" borderId="26" xfId="0" applyFont="1" applyFill="1" applyBorder="1" applyAlignment="1">
      <alignment horizontal="left" vertical="top"/>
    </xf>
    <xf numFmtId="49" fontId="13" fillId="0" borderId="15" xfId="0" applyNumberFormat="1" applyFont="1" applyFill="1" applyBorder="1" applyAlignment="1">
      <alignment horizontal="center" vertical="center"/>
    </xf>
    <xf numFmtId="1" fontId="39" fillId="13" borderId="9" xfId="0" applyNumberFormat="1" applyFont="1" applyFill="1" applyBorder="1" applyAlignment="1">
      <alignment horizontal="center" vertical="top"/>
    </xf>
    <xf numFmtId="0" fontId="13" fillId="0" borderId="10" xfId="0" applyFont="1" applyFill="1" applyBorder="1" applyAlignment="1">
      <alignment horizontal="center" wrapText="1"/>
    </xf>
    <xf numFmtId="0" fontId="13" fillId="0" borderId="10" xfId="0" applyFont="1" applyFill="1" applyBorder="1" applyAlignment="1">
      <alignment horizontal="center" vertical="top" wrapText="1"/>
    </xf>
    <xf numFmtId="1" fontId="38" fillId="0" borderId="9" xfId="0" applyNumberFormat="1" applyFont="1" applyFill="1" applyBorder="1" applyAlignment="1">
      <alignment horizontal="left" vertical="center" wrapText="1"/>
    </xf>
    <xf numFmtId="0" fontId="38" fillId="13" borderId="9" xfId="0" applyFont="1" applyFill="1" applyBorder="1" applyAlignment="1">
      <alignment horizontal="left" vertical="center" wrapText="1"/>
    </xf>
    <xf numFmtId="0" fontId="21" fillId="0" borderId="9" xfId="0" applyNumberFormat="1" applyFont="1" applyFill="1" applyBorder="1" applyAlignment="1">
      <alignment horizontal="center" wrapText="1"/>
    </xf>
    <xf numFmtId="49" fontId="13" fillId="0" borderId="0" xfId="0" applyNumberFormat="1" applyFont="1" applyFill="1" applyBorder="1" applyAlignment="1">
      <alignment vertical="top" wrapText="1"/>
    </xf>
    <xf numFmtId="49" fontId="33" fillId="0" borderId="0" xfId="0" applyNumberFormat="1" applyFont="1" applyFill="1" applyBorder="1" applyAlignment="1">
      <alignment vertical="top"/>
    </xf>
    <xf numFmtId="49" fontId="0" fillId="0" borderId="0" xfId="0" applyNumberFormat="1" applyAlignment="1">
      <alignment vertical="top"/>
    </xf>
    <xf numFmtId="49" fontId="0" fillId="0" borderId="0" xfId="0" applyNumberFormat="1" applyAlignment="1">
      <alignment horizontal="center" vertical="top"/>
    </xf>
    <xf numFmtId="49" fontId="13" fillId="0" borderId="0" xfId="0" applyNumberFormat="1" applyFont="1" applyFill="1" applyBorder="1" applyAlignment="1">
      <alignment vertical="top"/>
    </xf>
    <xf numFmtId="49" fontId="13" fillId="14" borderId="0" xfId="0" applyNumberFormat="1" applyFont="1" applyFill="1" applyBorder="1" applyAlignment="1">
      <alignment vertical="top"/>
    </xf>
    <xf numFmtId="49" fontId="8" fillId="0" borderId="0" xfId="0" applyNumberFormat="1" applyFont="1" applyAlignment="1">
      <alignment horizontal="center" vertical="top" wrapText="1"/>
    </xf>
    <xf numFmtId="49" fontId="0" fillId="0" borderId="0" xfId="0" applyNumberFormat="1" applyAlignment="1">
      <alignment vertical="top" wrapText="1"/>
    </xf>
    <xf numFmtId="49" fontId="8" fillId="0" borderId="0" xfId="0" applyNumberFormat="1" applyFont="1" applyAlignment="1">
      <alignment vertical="top" wrapText="1"/>
    </xf>
    <xf numFmtId="49" fontId="38" fillId="0" borderId="0" xfId="0" applyNumberFormat="1" applyFont="1" applyFill="1" applyBorder="1" applyAlignment="1">
      <alignment vertical="top"/>
    </xf>
    <xf numFmtId="49" fontId="38" fillId="0" borderId="0" xfId="0" applyNumberFormat="1" applyFont="1" applyFill="1" applyBorder="1" applyAlignment="1">
      <alignment horizontal="center" vertical="top"/>
    </xf>
    <xf numFmtId="49" fontId="21" fillId="0" borderId="0" xfId="0" applyNumberFormat="1" applyFont="1" applyFill="1" applyBorder="1" applyAlignment="1">
      <alignment horizontal="center" vertical="top" wrapText="1"/>
    </xf>
    <xf numFmtId="49" fontId="33" fillId="0" borderId="0" xfId="0" applyNumberFormat="1" applyFont="1" applyAlignment="1">
      <alignment vertical="top"/>
    </xf>
    <xf numFmtId="49" fontId="33" fillId="0" borderId="0" xfId="0" applyNumberFormat="1" applyFont="1" applyAlignment="1">
      <alignment horizontal="center" vertical="top"/>
    </xf>
    <xf numFmtId="49" fontId="13" fillId="0" borderId="0" xfId="0" applyNumberFormat="1" applyFont="1" applyAlignment="1">
      <alignment vertical="top"/>
    </xf>
    <xf numFmtId="49" fontId="13" fillId="0" borderId="0" xfId="0" applyNumberFormat="1" applyFont="1" applyAlignment="1">
      <alignment horizontal="center" vertical="top"/>
    </xf>
    <xf numFmtId="49" fontId="33" fillId="0" borderId="0" xfId="0" applyNumberFormat="1" applyFont="1" applyFill="1" applyBorder="1" applyAlignment="1">
      <alignment horizontal="center" vertical="top"/>
    </xf>
    <xf numFmtId="49" fontId="13" fillId="14" borderId="0" xfId="0" applyNumberFormat="1" applyFont="1" applyFill="1" applyBorder="1" applyAlignment="1">
      <alignment horizontal="center" vertical="top"/>
    </xf>
    <xf numFmtId="2" fontId="33" fillId="0" borderId="9" xfId="1" applyNumberFormat="1" applyFont="1" applyFill="1" applyBorder="1" applyAlignment="1">
      <alignment horizontal="center" vertical="top"/>
    </xf>
    <xf numFmtId="2" fontId="21" fillId="0" borderId="9" xfId="0" applyNumberFormat="1" applyFont="1" applyFill="1" applyBorder="1" applyAlignment="1"/>
    <xf numFmtId="2" fontId="13" fillId="13" borderId="9" xfId="1" applyNumberFormat="1" applyFont="1" applyFill="1" applyBorder="1" applyAlignment="1">
      <alignment horizontal="center" vertical="top"/>
    </xf>
    <xf numFmtId="2" fontId="13" fillId="0" borderId="9" xfId="1" applyNumberFormat="1" applyFont="1" applyFill="1" applyBorder="1" applyAlignment="1">
      <alignment horizontal="center" vertical="top"/>
    </xf>
    <xf numFmtId="2" fontId="13" fillId="14" borderId="9" xfId="1" applyNumberFormat="1" applyFont="1" applyFill="1" applyBorder="1" applyAlignment="1">
      <alignment horizontal="center" vertical="top"/>
    </xf>
    <xf numFmtId="2" fontId="33" fillId="0" borderId="0" xfId="0" applyNumberFormat="1" applyFont="1" applyFill="1" applyBorder="1" applyAlignment="1">
      <alignment vertical="top"/>
    </xf>
    <xf numFmtId="0" fontId="8" fillId="0" borderId="0" xfId="0" applyFont="1" applyAlignment="1">
      <alignment vertical="top" wrapText="1"/>
    </xf>
    <xf numFmtId="165" fontId="3" fillId="0" borderId="22" xfId="0" applyNumberFormat="1" applyFont="1" applyBorder="1" applyAlignment="1">
      <alignment horizontal="center" vertical="center" wrapText="1"/>
    </xf>
    <xf numFmtId="0" fontId="11" fillId="0" borderId="0" xfId="2" applyFont="1" applyBorder="1" applyAlignment="1">
      <alignment horizontal="center" wrapText="1"/>
    </xf>
    <xf numFmtId="0" fontId="21" fillId="15" borderId="26" xfId="0" applyFont="1" applyFill="1" applyBorder="1" applyAlignment="1">
      <alignment horizontal="center" textRotation="90" wrapText="1"/>
    </xf>
    <xf numFmtId="0" fontId="45" fillId="0" borderId="0" xfId="0" applyFont="1"/>
    <xf numFmtId="0" fontId="21" fillId="0" borderId="27" xfId="0" applyFont="1" applyFill="1" applyBorder="1" applyAlignment="1">
      <alignment horizontal="left" vertical="top" wrapText="1"/>
    </xf>
    <xf numFmtId="0" fontId="21" fillId="0" borderId="28" xfId="0" applyFont="1" applyFill="1" applyBorder="1" applyAlignment="1">
      <alignment horizontal="left" vertical="top" wrapText="1"/>
    </xf>
    <xf numFmtId="0" fontId="21" fillId="0" borderId="6" xfId="0" applyFont="1" applyFill="1" applyBorder="1" applyAlignment="1">
      <alignment horizontal="left" vertical="top" wrapText="1"/>
    </xf>
    <xf numFmtId="0" fontId="21" fillId="0" borderId="27" xfId="0" applyFont="1" applyFill="1" applyBorder="1" applyAlignment="1">
      <alignment horizontal="left" wrapText="1"/>
    </xf>
    <xf numFmtId="0" fontId="21" fillId="0" borderId="28" xfId="0" applyFont="1" applyFill="1" applyBorder="1" applyAlignment="1">
      <alignment horizontal="left" wrapText="1"/>
    </xf>
    <xf numFmtId="0" fontId="11" fillId="0" borderId="10" xfId="0" applyFont="1" applyFill="1" applyBorder="1" applyAlignment="1">
      <alignment horizontal="left" wrapText="1"/>
    </xf>
    <xf numFmtId="0" fontId="11" fillId="0" borderId="38" xfId="0" applyFont="1" applyFill="1" applyBorder="1" applyAlignment="1">
      <alignment horizontal="left" wrapText="1"/>
    </xf>
    <xf numFmtId="0" fontId="11" fillId="0" borderId="36" xfId="0" applyFont="1" applyFill="1" applyBorder="1" applyAlignment="1">
      <alignment horizontal="center" vertical="center"/>
    </xf>
    <xf numFmtId="0" fontId="11" fillId="0" borderId="12" xfId="0" applyFont="1" applyFill="1" applyBorder="1" applyAlignment="1">
      <alignment horizontal="center" vertical="center"/>
    </xf>
    <xf numFmtId="0" fontId="11" fillId="0" borderId="13" xfId="0" applyFont="1" applyFill="1" applyBorder="1" applyAlignment="1">
      <alignment horizontal="center" vertical="center"/>
    </xf>
    <xf numFmtId="0" fontId="11" fillId="0" borderId="11" xfId="0" applyFont="1" applyFill="1" applyBorder="1" applyAlignment="1">
      <alignment horizontal="center" vertical="center"/>
    </xf>
    <xf numFmtId="0" fontId="21" fillId="0" borderId="11" xfId="0" applyFont="1" applyFill="1" applyBorder="1" applyAlignment="1">
      <alignment horizontal="center" wrapText="1"/>
    </xf>
    <xf numFmtId="0" fontId="21" fillId="0" borderId="14" xfId="0" applyFont="1" applyFill="1" applyBorder="1" applyAlignment="1">
      <alignment horizontal="center" wrapText="1"/>
    </xf>
    <xf numFmtId="0" fontId="21" fillId="0" borderId="13" xfId="0" applyFont="1" applyFill="1" applyBorder="1" applyAlignment="1">
      <alignment horizontal="center" wrapText="1"/>
    </xf>
    <xf numFmtId="0" fontId="21" fillId="0" borderId="15" xfId="0" applyFont="1" applyFill="1" applyBorder="1" applyAlignment="1">
      <alignment horizontal="center" wrapText="1"/>
    </xf>
    <xf numFmtId="0" fontId="21" fillId="0" borderId="10" xfId="0" applyFont="1" applyFill="1" applyBorder="1" applyAlignment="1">
      <alignment horizontal="center" textRotation="90"/>
    </xf>
    <xf numFmtId="0" fontId="21" fillId="0" borderId="38" xfId="0" applyFont="1" applyFill="1" applyBorder="1" applyAlignment="1">
      <alignment horizontal="center" textRotation="90"/>
    </xf>
  </cellXfs>
  <cellStyles count="6">
    <cellStyle name="Comma 2" xfId="4" xr:uid="{00000000-0005-0000-0000-000000000000}"/>
    <cellStyle name="Normal" xfId="0" builtinId="0"/>
    <cellStyle name="Normal 2" xfId="2" xr:uid="{00000000-0005-0000-0000-000003000000}"/>
    <cellStyle name="Normal 2 2" xfId="5" xr:uid="{00000000-0005-0000-0000-000004000000}"/>
    <cellStyle name="Normal 3 3" xfId="3" xr:uid="{00000000-0005-0000-0000-000005000000}"/>
    <cellStyle name="Percent" xfId="1" builtinId="5"/>
  </cellStyles>
  <dxfs count="52">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FF0000"/>
        </patternFill>
      </fill>
    </dxf>
    <dxf>
      <fill>
        <patternFill>
          <bgColor rgb="FFFFFF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colors>
    <mruColors>
      <color rgb="FFFF00FF"/>
      <color rgb="FF66FF66"/>
      <color rgb="FF0000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J96"/>
  <sheetViews>
    <sheetView topLeftCell="B1" zoomScale="55" zoomScaleNormal="55" workbookViewId="0">
      <pane xSplit="4" ySplit="3" topLeftCell="F4" activePane="bottomRight" state="frozen"/>
      <selection activeCell="B1" sqref="B1"/>
      <selection pane="topRight" activeCell="F1" sqref="F1"/>
      <selection pane="bottomLeft" activeCell="B4" sqref="B4"/>
      <selection pane="bottomRight" activeCell="B1" sqref="B1"/>
    </sheetView>
  </sheetViews>
  <sheetFormatPr defaultColWidth="8.7265625" defaultRowHeight="44" customHeight="1" x14ac:dyDescent="0.35"/>
  <cols>
    <col min="1" max="1" width="24.26953125" style="387" hidden="1" customWidth="1"/>
    <col min="2" max="2" width="38.453125" style="230" customWidth="1"/>
    <col min="3" max="3" width="9" style="138" customWidth="1"/>
    <col min="4" max="4" width="11" style="225" customWidth="1"/>
    <col min="5" max="5" width="1" style="234" customWidth="1"/>
    <col min="6" max="9" width="14" style="235" customWidth="1"/>
    <col min="10" max="14" width="13.7265625" style="138" customWidth="1"/>
    <col min="15" max="15" width="1" style="234" customWidth="1"/>
    <col min="16" max="17" width="14" style="235" customWidth="1"/>
    <col min="18" max="18" width="13.7265625" style="138" customWidth="1"/>
    <col min="19" max="19" width="15" style="233" customWidth="1"/>
    <col min="20" max="20" width="13.7265625" style="138" customWidth="1"/>
    <col min="21" max="21" width="23.26953125" style="138" customWidth="1"/>
    <col min="22" max="25" width="17.26953125" style="236" customWidth="1"/>
    <col min="26" max="27" width="15.54296875" style="236" customWidth="1"/>
    <col min="28" max="28" width="15.90625" style="237" customWidth="1"/>
    <col min="29" max="29" width="18" style="237" customWidth="1"/>
    <col min="30" max="31" width="15.7265625" style="237" customWidth="1"/>
    <col min="32" max="32" width="1" style="234" customWidth="1"/>
    <col min="33" max="33" width="14.36328125" style="238" customWidth="1"/>
    <col min="34" max="34" width="20.08984375" style="233" customWidth="1"/>
    <col min="35" max="39" width="15" style="233" customWidth="1"/>
    <col min="40" max="40" width="18.81640625" style="138" customWidth="1"/>
    <col min="41" max="42" width="15" style="233" customWidth="1"/>
    <col min="43" max="43" width="21.90625" style="233" customWidth="1"/>
    <col min="44" max="44" width="33.453125" style="240" customWidth="1"/>
    <col min="45" max="45" width="1" style="234" customWidth="1"/>
    <col min="46" max="46" width="13.453125" style="235" customWidth="1"/>
    <col min="47" max="52" width="16.26953125" style="235" customWidth="1"/>
    <col min="53" max="53" width="15.36328125" style="229" customWidth="1"/>
    <col min="54" max="56" width="15.26953125" style="235" customWidth="1"/>
    <col min="57" max="58" width="16.08984375" style="235" customWidth="1"/>
    <col min="59" max="59" width="12.1796875" style="239" customWidth="1"/>
    <col min="60" max="60" width="1" style="234" customWidth="1"/>
    <col min="61" max="61" width="11.36328125" style="233" customWidth="1"/>
    <col min="62" max="62" width="11.36328125" style="138" customWidth="1"/>
    <col min="63" max="63" width="11.36328125" style="233" customWidth="1"/>
    <col min="64" max="64" width="11.36328125" style="138" customWidth="1"/>
    <col min="65" max="65" width="31.6328125" style="226" customWidth="1"/>
    <col min="66" max="66" width="1" style="234" customWidth="1"/>
    <col min="67" max="67" width="14.08984375" style="138" customWidth="1"/>
    <col min="68" max="68" width="8.7265625" style="138"/>
    <col min="69" max="69" width="14.08984375" style="233" customWidth="1"/>
    <col min="70" max="70" width="26.6328125" style="226" customWidth="1"/>
    <col min="71" max="71" width="14.54296875" style="226" customWidth="1"/>
    <col min="72" max="72" width="17.54296875" style="228" customWidth="1"/>
    <col min="73" max="73" width="14.90625" style="226" customWidth="1"/>
    <col min="74" max="74" width="1" style="234" customWidth="1"/>
    <col min="75" max="75" width="10.81640625" style="138" customWidth="1"/>
    <col min="76" max="77" width="20.7265625" style="138" customWidth="1"/>
    <col min="78" max="80" width="10.81640625" style="138" customWidth="1"/>
    <col min="81" max="82" width="20.7265625" style="138" customWidth="1"/>
    <col min="83" max="86" width="10.81640625" style="138" customWidth="1"/>
    <col min="87" max="87" width="1" style="234" customWidth="1"/>
    <col min="88" max="88" width="21.54296875" style="230" customWidth="1"/>
    <col min="89" max="89" width="4.6328125" style="305" customWidth="1"/>
    <col min="90" max="90" width="21.54296875" style="230" customWidth="1"/>
    <col min="91" max="91" width="4.6328125" style="305" customWidth="1"/>
    <col min="92" max="92" width="15.26953125" style="230" customWidth="1"/>
    <col min="93" max="93" width="4.6328125" style="305" customWidth="1"/>
    <col min="94" max="94" width="18.90625" style="230" customWidth="1"/>
    <col min="95" max="95" width="4.6328125" style="305" customWidth="1"/>
    <col min="96" max="96" width="15.26953125" style="230" customWidth="1"/>
    <col min="97" max="97" width="4.6328125" style="305" customWidth="1"/>
    <col min="98" max="98" width="15.26953125" style="230" customWidth="1"/>
    <col min="99" max="99" width="4.6328125" style="305" customWidth="1"/>
    <col min="100" max="103" width="15.81640625" style="305" customWidth="1"/>
    <col min="104" max="104" width="123.54296875" style="231" customWidth="1"/>
    <col min="105" max="105" width="18.1796875" style="225" customWidth="1"/>
    <col min="106" max="106" width="53.08984375" style="230" customWidth="1"/>
    <col min="107" max="107" width="1" style="234" customWidth="1"/>
    <col min="108" max="135" width="8.7265625" style="467" hidden="1" customWidth="1"/>
    <col min="136" max="140" width="0" style="138" hidden="1" customWidth="1"/>
    <col min="141" max="16384" width="8.7265625" style="138"/>
  </cols>
  <sheetData>
    <row r="1" spans="1:140" s="335" customFormat="1" ht="30" x14ac:dyDescent="0.45">
      <c r="A1" s="331"/>
      <c r="B1" s="325" t="s">
        <v>653</v>
      </c>
      <c r="C1" s="323"/>
      <c r="D1" s="328"/>
      <c r="E1" s="324"/>
      <c r="F1" s="325" t="s">
        <v>377</v>
      </c>
      <c r="G1" s="325"/>
      <c r="H1" s="326"/>
      <c r="I1" s="325"/>
      <c r="J1" s="327"/>
      <c r="K1" s="194" t="s">
        <v>388</v>
      </c>
      <c r="L1" s="194" t="s">
        <v>388</v>
      </c>
      <c r="M1" s="194" t="s">
        <v>388</v>
      </c>
      <c r="N1" s="323"/>
      <c r="O1" s="324"/>
      <c r="P1" s="325" t="s">
        <v>397</v>
      </c>
      <c r="Q1" s="329"/>
      <c r="R1" s="323"/>
      <c r="S1" s="330"/>
      <c r="T1" s="323"/>
      <c r="U1" s="323"/>
      <c r="V1" s="326"/>
      <c r="W1" s="326"/>
      <c r="X1" s="326"/>
      <c r="Y1" s="326"/>
      <c r="Z1" s="326"/>
      <c r="AA1" s="326"/>
      <c r="AB1" s="332"/>
      <c r="AC1" s="332"/>
      <c r="AD1" s="332"/>
      <c r="AE1" s="332"/>
      <c r="AF1" s="324"/>
      <c r="AG1" s="331" t="s">
        <v>376</v>
      </c>
      <c r="AH1" s="331"/>
      <c r="AI1" s="331"/>
      <c r="AJ1" s="331"/>
      <c r="AK1" s="331"/>
      <c r="AL1" s="331"/>
      <c r="AM1" s="331"/>
      <c r="AN1" s="194" t="s">
        <v>388</v>
      </c>
      <c r="AO1" s="194" t="s">
        <v>388</v>
      </c>
      <c r="AP1" s="194" t="s">
        <v>388</v>
      </c>
      <c r="AQ1" s="482"/>
      <c r="AR1" s="327"/>
      <c r="AS1" s="324"/>
      <c r="AT1" s="325" t="s">
        <v>589</v>
      </c>
      <c r="AU1" s="325"/>
      <c r="AV1" s="325"/>
      <c r="AW1" s="325"/>
      <c r="AX1" s="325"/>
      <c r="AY1" s="325"/>
      <c r="AZ1" s="325"/>
      <c r="BA1" s="198" t="s">
        <v>554</v>
      </c>
      <c r="BB1" s="325"/>
      <c r="BC1" s="325"/>
      <c r="BD1" s="325"/>
      <c r="BE1" s="325"/>
      <c r="BF1" s="325"/>
      <c r="BG1" s="333"/>
      <c r="BH1" s="324"/>
      <c r="BI1" s="331" t="s">
        <v>375</v>
      </c>
      <c r="BJ1" s="326"/>
      <c r="BK1" s="331"/>
      <c r="BL1" s="334"/>
      <c r="BM1" s="323"/>
      <c r="BN1" s="324"/>
      <c r="BO1" s="323" t="s">
        <v>510</v>
      </c>
      <c r="BP1" s="323"/>
      <c r="BQ1" s="331"/>
      <c r="BR1" s="334"/>
      <c r="BS1" s="331"/>
      <c r="BT1" s="331"/>
      <c r="BU1" s="334"/>
      <c r="BV1" s="324"/>
      <c r="BW1" s="335" t="s">
        <v>600</v>
      </c>
      <c r="CG1" s="412"/>
      <c r="CI1" s="324"/>
      <c r="CJ1" s="336" t="s">
        <v>603</v>
      </c>
      <c r="CK1" s="337"/>
      <c r="CL1" s="336"/>
      <c r="CM1" s="337"/>
      <c r="CN1" s="336"/>
      <c r="CO1" s="337"/>
      <c r="CP1" s="336"/>
      <c r="CQ1" s="337"/>
      <c r="CR1" s="336"/>
      <c r="CS1" s="337"/>
      <c r="CT1" s="336"/>
      <c r="CU1" s="337"/>
      <c r="CV1" s="337"/>
      <c r="CW1" s="337"/>
      <c r="CX1" s="337"/>
      <c r="CY1" s="337"/>
      <c r="CZ1" s="327"/>
      <c r="DA1" s="328"/>
      <c r="DB1" s="338"/>
      <c r="DC1" s="339"/>
      <c r="DD1" s="472" t="s">
        <v>746</v>
      </c>
      <c r="DE1" s="472"/>
      <c r="DG1" s="473"/>
      <c r="DH1" s="472"/>
      <c r="DI1" s="472"/>
      <c r="DJ1" s="472"/>
      <c r="DK1" s="472"/>
      <c r="DL1" s="472"/>
      <c r="DM1" s="472"/>
      <c r="DN1" s="472"/>
      <c r="DO1" s="472"/>
      <c r="DP1" s="472"/>
      <c r="DQ1" s="472"/>
      <c r="DR1" s="472"/>
      <c r="DS1" s="472"/>
      <c r="DT1" s="472"/>
      <c r="DU1" s="472"/>
      <c r="DV1" s="472"/>
      <c r="DW1" s="472"/>
      <c r="DX1" s="472"/>
      <c r="DY1" s="472"/>
      <c r="DZ1" s="472"/>
      <c r="EA1" s="472"/>
      <c r="EB1" s="472"/>
      <c r="EC1" s="472"/>
      <c r="ED1" s="472"/>
      <c r="EE1" s="472"/>
    </row>
    <row r="2" spans="1:140" s="224" customFormat="1" ht="50.5" customHeight="1" x14ac:dyDescent="0.35">
      <c r="A2" s="386"/>
      <c r="B2" s="460" t="s">
        <v>759</v>
      </c>
      <c r="C2" s="200"/>
      <c r="D2" s="200">
        <v>1</v>
      </c>
      <c r="E2" s="253"/>
      <c r="F2" s="200">
        <v>1</v>
      </c>
      <c r="G2" s="200">
        <v>1</v>
      </c>
      <c r="H2" s="200">
        <v>3</v>
      </c>
      <c r="I2" s="200" t="s">
        <v>563</v>
      </c>
      <c r="J2" s="200" t="s">
        <v>590</v>
      </c>
      <c r="K2" s="200" t="s">
        <v>564</v>
      </c>
      <c r="L2" s="200" t="s">
        <v>564</v>
      </c>
      <c r="M2" s="200" t="s">
        <v>564</v>
      </c>
      <c r="N2" s="200">
        <v>3</v>
      </c>
      <c r="O2" s="253"/>
      <c r="P2" s="200">
        <v>3</v>
      </c>
      <c r="Q2" s="200">
        <v>3</v>
      </c>
      <c r="R2" s="200">
        <v>3</v>
      </c>
      <c r="S2" s="200">
        <v>4</v>
      </c>
      <c r="T2" s="200">
        <v>3</v>
      </c>
      <c r="U2" s="200">
        <v>1</v>
      </c>
      <c r="V2" s="200" t="s">
        <v>566</v>
      </c>
      <c r="W2" s="200" t="s">
        <v>566</v>
      </c>
      <c r="X2" s="200">
        <v>3</v>
      </c>
      <c r="Y2" s="200">
        <v>3</v>
      </c>
      <c r="Z2" s="462">
        <v>3</v>
      </c>
      <c r="AA2" s="462">
        <v>3</v>
      </c>
      <c r="AB2" s="200">
        <v>3</v>
      </c>
      <c r="AC2" s="200">
        <v>3</v>
      </c>
      <c r="AD2" s="200" t="s">
        <v>696</v>
      </c>
      <c r="AE2" s="200" t="s">
        <v>696</v>
      </c>
      <c r="AF2" s="253"/>
      <c r="AG2" s="200">
        <v>3</v>
      </c>
      <c r="AH2" s="200" t="s">
        <v>567</v>
      </c>
      <c r="AI2" s="200" t="s">
        <v>568</v>
      </c>
      <c r="AJ2" s="200">
        <v>3</v>
      </c>
      <c r="AK2" s="200">
        <v>3</v>
      </c>
      <c r="AL2" s="200">
        <v>3</v>
      </c>
      <c r="AM2" s="200">
        <v>3</v>
      </c>
      <c r="AN2" s="200" t="s">
        <v>699</v>
      </c>
      <c r="AO2" s="200" t="s">
        <v>699</v>
      </c>
      <c r="AP2" s="200" t="s">
        <v>699</v>
      </c>
      <c r="AQ2" s="200">
        <v>3</v>
      </c>
      <c r="AR2" s="200">
        <v>3</v>
      </c>
      <c r="AS2" s="253"/>
      <c r="AT2" s="200">
        <v>1</v>
      </c>
      <c r="AU2" s="200">
        <v>1</v>
      </c>
      <c r="AV2" s="200" t="s">
        <v>728</v>
      </c>
      <c r="AW2" s="200">
        <v>1</v>
      </c>
      <c r="AX2" s="200">
        <v>1</v>
      </c>
      <c r="AY2" s="200">
        <v>1</v>
      </c>
      <c r="AZ2" s="200">
        <v>1</v>
      </c>
      <c r="BA2" s="200">
        <v>3</v>
      </c>
      <c r="BB2" s="200">
        <v>1</v>
      </c>
      <c r="BC2" s="200" t="s">
        <v>711</v>
      </c>
      <c r="BD2" s="200" t="s">
        <v>711</v>
      </c>
      <c r="BE2" s="200" t="s">
        <v>711</v>
      </c>
      <c r="BF2" s="200" t="s">
        <v>711</v>
      </c>
      <c r="BG2" s="200" t="s">
        <v>711</v>
      </c>
      <c r="BH2" s="253"/>
      <c r="BI2" s="462">
        <v>1</v>
      </c>
      <c r="BJ2" s="462">
        <v>1</v>
      </c>
      <c r="BK2" s="462">
        <v>11</v>
      </c>
      <c r="BL2" s="200">
        <v>3</v>
      </c>
      <c r="BM2" s="200" t="s">
        <v>571</v>
      </c>
      <c r="BN2" s="253"/>
      <c r="BO2" s="255">
        <f>F2</f>
        <v>1</v>
      </c>
      <c r="BP2" s="301" t="str">
        <f t="shared" ref="BP2:BP7" si="0">I2</f>
        <v>2, 3</v>
      </c>
      <c r="BQ2" s="301" t="str">
        <f t="shared" ref="BQ2:BQ33" si="1">M2</f>
        <v>3, 4</v>
      </c>
      <c r="BR2" s="255">
        <f>U2</f>
        <v>1</v>
      </c>
      <c r="BS2" s="301">
        <f t="shared" ref="BS2:BS22" si="2">AA2</f>
        <v>3</v>
      </c>
      <c r="BT2" s="301">
        <f t="shared" ref="BT2:BT22" si="3">AC2</f>
        <v>3</v>
      </c>
      <c r="BU2" s="301" t="str">
        <f t="shared" ref="BU2:BU22" si="4">BG2</f>
        <v>1,3</v>
      </c>
      <c r="BV2" s="307"/>
      <c r="BW2" s="340" t="s">
        <v>601</v>
      </c>
      <c r="CI2" s="307"/>
      <c r="CJ2" s="310">
        <v>3</v>
      </c>
      <c r="CK2" s="311"/>
      <c r="CL2" s="310">
        <v>3</v>
      </c>
      <c r="CM2" s="311"/>
      <c r="CN2" s="310">
        <v>3</v>
      </c>
      <c r="CO2" s="311"/>
      <c r="CP2" s="310">
        <v>3</v>
      </c>
      <c r="CQ2" s="311"/>
      <c r="CR2" s="310">
        <v>3</v>
      </c>
      <c r="CS2" s="311"/>
      <c r="CT2" s="310">
        <v>3</v>
      </c>
      <c r="CU2" s="311"/>
      <c r="CV2" s="311">
        <v>3</v>
      </c>
      <c r="CW2" s="311">
        <v>3</v>
      </c>
      <c r="CX2" s="311">
        <v>3</v>
      </c>
      <c r="CY2" s="311">
        <v>3</v>
      </c>
      <c r="CZ2" s="200">
        <v>3</v>
      </c>
      <c r="DA2" s="200">
        <v>3</v>
      </c>
      <c r="DB2" s="200">
        <v>3</v>
      </c>
      <c r="DC2" s="254"/>
      <c r="DD2" s="474"/>
      <c r="DE2" s="474"/>
      <c r="DF2" s="474"/>
      <c r="DG2" s="474"/>
      <c r="DH2" s="474"/>
      <c r="DI2" s="474"/>
      <c r="DJ2" s="474"/>
      <c r="DK2" s="474"/>
      <c r="DL2" s="474"/>
      <c r="DM2" s="474"/>
      <c r="DN2" s="474"/>
      <c r="DO2" s="474"/>
      <c r="DP2" s="474"/>
      <c r="DQ2" s="474"/>
      <c r="DR2" s="474"/>
      <c r="DS2" s="474"/>
      <c r="DT2" s="474"/>
      <c r="DU2" s="474"/>
      <c r="DV2" s="474"/>
      <c r="DW2" s="474"/>
      <c r="DX2" s="474"/>
      <c r="DY2" s="474"/>
      <c r="DZ2" s="474"/>
      <c r="EA2" s="474"/>
      <c r="EB2" s="474"/>
      <c r="EC2" s="474"/>
      <c r="ED2" s="474"/>
      <c r="EE2" s="474"/>
    </row>
    <row r="3" spans="1:140" s="222" customFormat="1" ht="130.5" customHeight="1" thickBot="1" x14ac:dyDescent="0.5">
      <c r="A3" s="386" t="s">
        <v>679</v>
      </c>
      <c r="B3" s="461" t="s">
        <v>712</v>
      </c>
      <c r="C3" s="198" t="s">
        <v>0</v>
      </c>
      <c r="D3" s="195" t="s">
        <v>401</v>
      </c>
      <c r="E3" s="220"/>
      <c r="F3" s="200" t="s">
        <v>572</v>
      </c>
      <c r="G3" s="200" t="s">
        <v>573</v>
      </c>
      <c r="H3" s="200" t="s">
        <v>574</v>
      </c>
      <c r="I3" s="198" t="s">
        <v>474</v>
      </c>
      <c r="J3" s="201" t="s">
        <v>390</v>
      </c>
      <c r="K3" s="198" t="s">
        <v>378</v>
      </c>
      <c r="L3" s="198" t="s">
        <v>387</v>
      </c>
      <c r="M3" s="198" t="s">
        <v>404</v>
      </c>
      <c r="N3" s="200" t="s">
        <v>395</v>
      </c>
      <c r="O3" s="220"/>
      <c r="P3" s="200" t="s">
        <v>555</v>
      </c>
      <c r="Q3" s="200" t="s">
        <v>556</v>
      </c>
      <c r="R3" s="202" t="s">
        <v>575</v>
      </c>
      <c r="S3" s="202" t="s">
        <v>576</v>
      </c>
      <c r="T3" s="200" t="s">
        <v>389</v>
      </c>
      <c r="U3" s="200" t="s">
        <v>655</v>
      </c>
      <c r="V3" s="204" t="s">
        <v>581</v>
      </c>
      <c r="W3" s="204" t="s">
        <v>582</v>
      </c>
      <c r="X3" s="204" t="s">
        <v>577</v>
      </c>
      <c r="Y3" s="204" t="s">
        <v>557</v>
      </c>
      <c r="Z3" s="204" t="s">
        <v>558</v>
      </c>
      <c r="AA3" s="204" t="s">
        <v>689</v>
      </c>
      <c r="AB3" s="206" t="s">
        <v>559</v>
      </c>
      <c r="AC3" s="206" t="s">
        <v>690</v>
      </c>
      <c r="AD3" s="206" t="s">
        <v>691</v>
      </c>
      <c r="AE3" s="206" t="s">
        <v>587</v>
      </c>
      <c r="AF3" s="220"/>
      <c r="AG3" s="199" t="s">
        <v>114</v>
      </c>
      <c r="AH3" s="203" t="s">
        <v>560</v>
      </c>
      <c r="AI3" s="203" t="s">
        <v>115</v>
      </c>
      <c r="AJ3" s="203" t="s">
        <v>755</v>
      </c>
      <c r="AK3" s="203" t="s">
        <v>756</v>
      </c>
      <c r="AL3" s="203" t="s">
        <v>757</v>
      </c>
      <c r="AM3" s="203" t="s">
        <v>754</v>
      </c>
      <c r="AN3" s="203" t="s">
        <v>729</v>
      </c>
      <c r="AO3" s="203" t="s">
        <v>730</v>
      </c>
      <c r="AP3" s="203" t="s">
        <v>731</v>
      </c>
      <c r="AQ3" s="203" t="s">
        <v>750</v>
      </c>
      <c r="AR3" s="203" t="s">
        <v>405</v>
      </c>
      <c r="AS3" s="220"/>
      <c r="AT3" s="207" t="s">
        <v>561</v>
      </c>
      <c r="AU3" s="207" t="s">
        <v>700</v>
      </c>
      <c r="AV3" s="207" t="s">
        <v>701</v>
      </c>
      <c r="AW3" s="207" t="s">
        <v>702</v>
      </c>
      <c r="AX3" s="207" t="s">
        <v>703</v>
      </c>
      <c r="AY3" s="207" t="s">
        <v>704</v>
      </c>
      <c r="AZ3" s="207" t="s">
        <v>705</v>
      </c>
      <c r="BA3" s="208" t="s">
        <v>553</v>
      </c>
      <c r="BB3" s="207" t="s">
        <v>709</v>
      </c>
      <c r="BC3" s="207" t="s">
        <v>710</v>
      </c>
      <c r="BD3" s="207" t="s">
        <v>707</v>
      </c>
      <c r="BE3" s="207" t="s">
        <v>706</v>
      </c>
      <c r="BF3" s="207" t="s">
        <v>708</v>
      </c>
      <c r="BG3" s="209" t="s">
        <v>403</v>
      </c>
      <c r="BH3" s="220"/>
      <c r="BI3" s="202" t="s">
        <v>727</v>
      </c>
      <c r="BJ3" s="198" t="s">
        <v>578</v>
      </c>
      <c r="BK3" s="202" t="s">
        <v>396</v>
      </c>
      <c r="BL3" s="198" t="s">
        <v>562</v>
      </c>
      <c r="BM3" s="198" t="s">
        <v>579</v>
      </c>
      <c r="BN3" s="220"/>
      <c r="BO3" s="200" t="s">
        <v>580</v>
      </c>
      <c r="BP3" s="198" t="str">
        <f t="shared" si="0"/>
        <v>Channel Sinuosity (unitless)</v>
      </c>
      <c r="BQ3" s="202" t="str">
        <f t="shared" si="1"/>
        <v>Maximum Depth at mean water - MW (m)</v>
      </c>
      <c r="BR3" s="200" t="s">
        <v>654</v>
      </c>
      <c r="BS3" s="205" t="str">
        <f t="shared" si="2"/>
        <v>Salinity Dilution Ratio (Freshwater Fraction), R/Fp (unitless)</v>
      </c>
      <c r="BT3" s="202" t="str">
        <f t="shared" si="3"/>
        <v>Watershed-Embayment Adjusted Nitrogen Enrichment Factor, FE = δCL/(0.3R/FP) (unitless)</v>
      </c>
      <c r="BU3" s="200" t="str">
        <f t="shared" si="4"/>
        <v>Fraction of TN Load from Point Sources (%)</v>
      </c>
      <c r="BV3" s="306"/>
      <c r="BW3" s="341" t="s">
        <v>602</v>
      </c>
      <c r="CI3" s="306"/>
      <c r="CJ3" s="308" t="s">
        <v>594</v>
      </c>
      <c r="CK3" s="490" t="s">
        <v>763</v>
      </c>
      <c r="CL3" s="308" t="s">
        <v>595</v>
      </c>
      <c r="CM3" s="490" t="s">
        <v>763</v>
      </c>
      <c r="CN3" s="308" t="s">
        <v>599</v>
      </c>
      <c r="CO3" s="490" t="s">
        <v>763</v>
      </c>
      <c r="CP3" s="308" t="s">
        <v>597</v>
      </c>
      <c r="CQ3" s="490" t="s">
        <v>763</v>
      </c>
      <c r="CR3" s="308" t="s">
        <v>598</v>
      </c>
      <c r="CS3" s="490" t="s">
        <v>763</v>
      </c>
      <c r="CT3" s="308" t="s">
        <v>596</v>
      </c>
      <c r="CU3" s="490" t="s">
        <v>763</v>
      </c>
      <c r="CV3" s="309" t="s">
        <v>764</v>
      </c>
      <c r="CW3" s="309" t="s">
        <v>610</v>
      </c>
      <c r="CX3" s="309" t="s">
        <v>765</v>
      </c>
      <c r="CY3" s="309" t="s">
        <v>611</v>
      </c>
      <c r="CZ3" s="351" t="s">
        <v>638</v>
      </c>
      <c r="DA3" s="195" t="s">
        <v>740</v>
      </c>
      <c r="DB3" s="195" t="s">
        <v>519</v>
      </c>
      <c r="DC3" s="223"/>
      <c r="DD3" s="463" t="s">
        <v>747</v>
      </c>
      <c r="DE3" s="463" t="s">
        <v>748</v>
      </c>
      <c r="DF3" s="463" t="s">
        <v>742</v>
      </c>
      <c r="DG3" s="469" t="s">
        <v>741</v>
      </c>
      <c r="DH3" s="470" t="s">
        <v>743</v>
      </c>
      <c r="DI3" s="471" t="s">
        <v>744</v>
      </c>
      <c r="DJ3" s="471" t="s">
        <v>474</v>
      </c>
      <c r="DK3" s="471" t="s">
        <v>715</v>
      </c>
      <c r="DL3" s="471" t="s">
        <v>716</v>
      </c>
      <c r="DM3" s="471" t="s">
        <v>717</v>
      </c>
      <c r="DN3" s="471" t="s">
        <v>718</v>
      </c>
      <c r="DO3" s="471" t="s">
        <v>745</v>
      </c>
      <c r="DP3" s="471" t="s">
        <v>719</v>
      </c>
      <c r="DQ3" s="471" t="s">
        <v>720</v>
      </c>
      <c r="DR3" s="471" t="s">
        <v>721</v>
      </c>
      <c r="DS3" s="471" t="s">
        <v>722</v>
      </c>
      <c r="DT3" s="471" t="s">
        <v>723</v>
      </c>
      <c r="DU3" s="471" t="s">
        <v>724</v>
      </c>
      <c r="DV3" s="471" t="s">
        <v>725</v>
      </c>
      <c r="DW3" s="471" t="s">
        <v>726</v>
      </c>
      <c r="DX3" s="471" t="s">
        <v>732</v>
      </c>
      <c r="DY3" s="471" t="s">
        <v>733</v>
      </c>
      <c r="DZ3" s="471" t="s">
        <v>734</v>
      </c>
      <c r="EA3" s="471" t="s">
        <v>735</v>
      </c>
      <c r="EB3" s="471" t="s">
        <v>736</v>
      </c>
      <c r="EC3" s="471" t="s">
        <v>737</v>
      </c>
      <c r="ED3" s="471" t="s">
        <v>738</v>
      </c>
      <c r="EE3" s="471" t="s">
        <v>739</v>
      </c>
      <c r="EF3" s="487" t="s">
        <v>749</v>
      </c>
      <c r="EG3" s="487" t="s">
        <v>405</v>
      </c>
      <c r="EH3" s="487" t="s">
        <v>751</v>
      </c>
      <c r="EI3" s="487" t="s">
        <v>752</v>
      </c>
      <c r="EJ3" s="487" t="s">
        <v>753</v>
      </c>
    </row>
    <row r="4" spans="1:140" s="275" customFormat="1" ht="44" customHeight="1" x14ac:dyDescent="0.35">
      <c r="A4" s="389">
        <v>1</v>
      </c>
      <c r="B4" s="281" t="s">
        <v>761</v>
      </c>
      <c r="C4" s="257">
        <v>1</v>
      </c>
      <c r="D4" s="256" t="s">
        <v>398</v>
      </c>
      <c r="E4" s="258"/>
      <c r="F4" s="259">
        <v>2638462</v>
      </c>
      <c r="G4" s="259">
        <v>6302.808</v>
      </c>
      <c r="H4" s="260">
        <f>F4/G4</f>
        <v>418.61690852711996</v>
      </c>
      <c r="I4" s="260">
        <f>G4/H4</f>
        <v>15.056267130193271</v>
      </c>
      <c r="J4" s="261">
        <v>1</v>
      </c>
      <c r="K4" s="262">
        <v>1.77727272727273</v>
      </c>
      <c r="L4" s="262">
        <v>1.55</v>
      </c>
      <c r="M4" s="262">
        <v>5.35</v>
      </c>
      <c r="N4" s="260">
        <f t="shared" ref="N4:N9" si="5">F4*MAX(0.1,(K4-S4))</f>
        <v>3497737.1539699072</v>
      </c>
      <c r="O4" s="258"/>
      <c r="P4" s="260">
        <f>24*3600*0.0208*(AT4/10^6)^0.99</f>
        <v>1135812.4579631763</v>
      </c>
      <c r="Q4" s="260">
        <f>P4</f>
        <v>1135812.4579631763</v>
      </c>
      <c r="R4" s="263">
        <f>S4*2</f>
        <v>0.90319997072199998</v>
      </c>
      <c r="S4" s="262">
        <v>0.45159998536099999</v>
      </c>
      <c r="T4" s="260">
        <f t="shared" ref="T4:T22" si="6">F4*R4</f>
        <v>2383058.8011511094</v>
      </c>
      <c r="U4" s="259">
        <v>2</v>
      </c>
      <c r="V4" s="264">
        <f t="shared" ref="V4:V22" si="7">(22.05*(G4/1000)+2.57106*(F4/1000/1000)-1.11*(G4/1000)^2) / 24</f>
        <v>4.2360574612300397</v>
      </c>
      <c r="W4" s="264">
        <f t="shared" ref="W4:W22" si="8">(68.83*(G4/1000)+7.78344*(F4/1000/1000)-3.3*(G4/1000)^2) / 24</f>
        <v>13.469366777051201</v>
      </c>
      <c r="X4" s="260">
        <f>T4*2</f>
        <v>4766117.6023022188</v>
      </c>
      <c r="Y4" s="263">
        <f t="shared" ref="Y4:Y22" si="9">N4/T4</f>
        <v>1.4677510904390463</v>
      </c>
      <c r="Z4" s="264">
        <f t="shared" ref="Z4:Z22" si="10">N4/Q4</f>
        <v>3.079502368060226</v>
      </c>
      <c r="AA4" s="264">
        <f t="shared" ref="AA4:AA22" si="11">Q4/X4</f>
        <v>0.23830978434408229</v>
      </c>
      <c r="AB4" s="266">
        <f t="shared" ref="AB4:AB22" si="12">BE4/(Q4+X4)*1000/365</f>
        <v>0.10303747817737444</v>
      </c>
      <c r="AC4" s="266">
        <f>AB4/(0.3*AA4)</f>
        <v>1.441226014016058</v>
      </c>
      <c r="AD4" s="266">
        <f t="shared" ref="AD4:AD22" si="13">T4/N4</f>
        <v>0.6813144316594385</v>
      </c>
      <c r="AE4" s="266">
        <f t="shared" ref="AE4:AE22" si="14">(Q4/24/60/60)*44700/T4</f>
        <v>0.24658442963380739</v>
      </c>
      <c r="AF4" s="258"/>
      <c r="AG4" s="267">
        <v>-71.859302</v>
      </c>
      <c r="AH4" s="263">
        <f>(AG4^2*-0.304-43.623*AG4-1561.6)*0.4012-0.2907</f>
        <v>1.047506143450563</v>
      </c>
      <c r="AI4" s="263">
        <f>1.2/AH4</f>
        <v>1.1455780068717409</v>
      </c>
      <c r="AJ4" s="263">
        <f>-LN(0.01)/AI4</f>
        <v>4.0199533845482476</v>
      </c>
      <c r="AK4" s="263">
        <f>-LN(0.15)/AI4</f>
        <v>1.656037365859</v>
      </c>
      <c r="AL4" s="263">
        <f>-LN(0.22)/AI4</f>
        <v>1.321715084915468</v>
      </c>
      <c r="AM4" s="262">
        <v>0.45159998536099999</v>
      </c>
      <c r="AN4" s="261">
        <v>0.96969696969696995</v>
      </c>
      <c r="AO4" s="261">
        <v>0.63636363636363602</v>
      </c>
      <c r="AP4" s="261">
        <v>0.35606060606060602</v>
      </c>
      <c r="AQ4" s="481">
        <f>1+S4</f>
        <v>1.451599985361</v>
      </c>
      <c r="AR4" s="268" t="str">
        <f>IF(BL4=0,IF(M4&lt;S4+1,"unlikely, too shallow",IF(AK4&gt;S4+1,IF(AO4&gt;0,(IF(AL4&gt;S4+1,"possible now","marginally possible now")),"possible if water clarity improves"),"possible if water clarity improves")),IF(LEFT(BM4,1)="y","currently present, field verified",IF(LEFT(BM4,1)="n","mapped as present but not field verified",IF(LEFT(BM4,1)="a","not mapped in 2017, but field verified by another source","mapped as present but only partially field verified"))))</f>
        <v>marginally possible now</v>
      </c>
      <c r="AS4" s="258"/>
      <c r="AT4" s="259">
        <v>674558700</v>
      </c>
      <c r="AU4" s="259">
        <v>69848.658380935958</v>
      </c>
      <c r="AV4" s="259">
        <v>56147.28093066666</v>
      </c>
      <c r="AW4" s="259">
        <v>48762.666615302864</v>
      </c>
      <c r="AX4" s="259">
        <v>81838.880792257318</v>
      </c>
      <c r="AY4" s="259">
        <v>33104.198334752989</v>
      </c>
      <c r="AZ4" s="259">
        <v>2110.7696000000001</v>
      </c>
      <c r="BA4" s="269"/>
      <c r="BB4" s="259">
        <v>235665.17372324911</v>
      </c>
      <c r="BC4" s="260">
        <f t="shared" ref="BC4:BC15" si="15">BB4-AU4+AV4</f>
        <v>221963.79627297982</v>
      </c>
      <c r="BD4" s="260">
        <f t="shared" ref="BD4:BD22" si="16">BC4/F4*10000</f>
        <v>841.26205445816481</v>
      </c>
      <c r="BE4" s="260">
        <f>BC4</f>
        <v>221963.79627297982</v>
      </c>
      <c r="BF4" s="260">
        <f>BD4</f>
        <v>841.26205445816481</v>
      </c>
      <c r="BG4" s="270">
        <f>AV4/BE4*100</f>
        <v>25.295693204676734</v>
      </c>
      <c r="BH4" s="258"/>
      <c r="BI4" s="262">
        <f>BJ4*0.00025</f>
        <v>118.343125</v>
      </c>
      <c r="BJ4" s="259">
        <v>473372.5</v>
      </c>
      <c r="BK4" s="262">
        <v>0</v>
      </c>
      <c r="BL4" s="259">
        <f>4046.86*BK4</f>
        <v>0</v>
      </c>
      <c r="BM4" s="259" t="s">
        <v>549</v>
      </c>
      <c r="BN4" s="258"/>
      <c r="BO4" s="260">
        <f>F4/10000</f>
        <v>263.84620000000001</v>
      </c>
      <c r="BP4" s="260">
        <f t="shared" si="0"/>
        <v>15.056267130193271</v>
      </c>
      <c r="BQ4" s="263">
        <f t="shared" si="1"/>
        <v>5.35</v>
      </c>
      <c r="BR4" s="260">
        <f t="shared" ref="BR4:BR22" si="17">IF(U4&gt;6,U4-10,U4)</f>
        <v>2</v>
      </c>
      <c r="BS4" s="265">
        <f t="shared" si="2"/>
        <v>0.23830978434408229</v>
      </c>
      <c r="BT4" s="263">
        <f t="shared" si="3"/>
        <v>1.441226014016058</v>
      </c>
      <c r="BU4" s="260">
        <f t="shared" si="4"/>
        <v>25.295693204676734</v>
      </c>
      <c r="BV4" s="448"/>
      <c r="BW4" s="495" t="s">
        <v>694</v>
      </c>
      <c r="BX4" s="496"/>
      <c r="BY4" s="496"/>
      <c r="BZ4" s="314" t="s">
        <v>766</v>
      </c>
      <c r="CA4" s="458" t="s">
        <v>608</v>
      </c>
      <c r="CB4" s="138"/>
      <c r="CC4" s="495" t="s">
        <v>695</v>
      </c>
      <c r="CD4" s="496"/>
      <c r="CE4" s="314" t="s">
        <v>766</v>
      </c>
      <c r="CF4" s="458" t="s">
        <v>608</v>
      </c>
      <c r="CG4" s="138"/>
      <c r="CI4" s="448"/>
      <c r="CJ4" s="449" t="str">
        <f t="shared" ref="CJ4:CJ35" si="18">LOOKUP(BS4,$BX$5:$BX$7,$BY$5:$BY$7)</f>
        <v>complex hydrodynamics</v>
      </c>
      <c r="CK4" s="450">
        <f t="shared" ref="CK4:CK35" si="19">LOOKUP(BS4,$BX$5:$BX$7,$BZ$5:$BZ$7)</f>
        <v>3</v>
      </c>
      <c r="CL4" s="449" t="str">
        <f t="shared" ref="CL4:CL35" si="20">LOOKUP(BT4,$CC$5:$CC$8,$CD$5:$CD$8)</f>
        <v>intermediate complexity water quality</v>
      </c>
      <c r="CM4" s="450">
        <f t="shared" ref="CM4:CM35" si="21">LOOKUP(BT4,$CC$5:$CC$8,$CE$5:$CE$8)</f>
        <v>2</v>
      </c>
      <c r="CN4" s="449" t="str">
        <f t="shared" ref="CN4:CN35" si="22">LOOKUP(BQ4,$BW$13:$BW$17,$BX$13:$BX$17)</f>
        <v>moderate</v>
      </c>
      <c r="CO4" s="450">
        <f t="shared" ref="CO4:CO35" si="23">LOOKUP(BQ4,$BW$13:$BW$17,$BY$13:$BY$17)</f>
        <v>2</v>
      </c>
      <c r="CP4" s="449" t="str">
        <f t="shared" ref="CP4:CP35" si="24">LOOKUP(BO4,$BZ$13:$BZ$18,$CA$13:$CA$18)</f>
        <v>mid-size</v>
      </c>
      <c r="CQ4" s="450">
        <f t="shared" ref="CQ4:CQ35" si="25">LOOKUP(BO4,$BZ$13:$BZ$18,$CB$13:$CB$18)</f>
        <v>4</v>
      </c>
      <c r="CR4" s="449" t="str">
        <f t="shared" ref="CR4:CR35" si="26">LOOKUP(BP4,$CC$13:$CC$17,$CD$13:$CD$17)</f>
        <v>low</v>
      </c>
      <c r="CS4" s="450">
        <f t="shared" ref="CS4:CS35" si="27">LOOKUP(BP4,$CC$13:$CC$17,$CE$13:$CE$17)</f>
        <v>2</v>
      </c>
      <c r="CT4" s="449" t="str">
        <f t="shared" ref="CT4:CT35" si="28">LOOKUP(BR4,$CF$13:$CF$18,$CG$13:$CG$18)</f>
        <v>mid-estuary</v>
      </c>
      <c r="CU4" s="450">
        <f t="shared" ref="CU4:CU35" si="29">LOOKUP(BR4,$CF$13:$CF$18,$CH$13:$CH$18)</f>
        <v>3</v>
      </c>
      <c r="CV4" s="450">
        <f t="shared" ref="CV4:CV35" si="30">CK4*$CA$5+CM4*$CF$5+CU4*$CG$10+CQ4*$CA$10+CS4*$CD$10+CO4*$BX$10</f>
        <v>145</v>
      </c>
      <c r="CW4" s="450" t="str">
        <f t="shared" ref="CW4:CW35" si="31">LOOKUP(CV4,$BW$20:$BW$23,$BX$20:$BX$23)</f>
        <v>complex hydrodynamics</v>
      </c>
      <c r="CX4" s="450">
        <f>CK4*$CA$7+CM4*$CF$7+CU4*$CG$11+CQ4*$CA$11+CS4*$CD$11+CO4*$BX$11</f>
        <v>91</v>
      </c>
      <c r="CY4" s="450" t="str">
        <f t="shared" ref="CY4:CY35" si="32">LOOKUP(CX4,$CB$20:$CB$23,$CC$20:$CC$23)</f>
        <v>intermediate complexity water quality</v>
      </c>
      <c r="CZ4" s="273" t="s">
        <v>402</v>
      </c>
      <c r="DA4" s="272" t="str">
        <f>IF(BU4&gt;0,"WASP","-")</f>
        <v>WASP</v>
      </c>
      <c r="DB4" s="271" t="str">
        <f t="shared" ref="DB4:DB36" si="33">CONCATENATE(  CW4,  "; ", CY4,IF(DA4="WASP"," (WASP)",""))</f>
        <v>complex hydrodynamics; intermediate complexity water quality (WASP)</v>
      </c>
      <c r="DC4" s="274"/>
      <c r="DD4" s="475" t="str">
        <f>B4</f>
        <v>Pawcatuck River, CT &amp; RI</v>
      </c>
      <c r="DE4" s="475">
        <f>C4</f>
        <v>1</v>
      </c>
      <c r="DF4" s="475">
        <f t="shared" ref="DF4:DF35" si="34">ROUND(AT4/1000/1000,2)</f>
        <v>674.56</v>
      </c>
      <c r="DG4" s="476">
        <f t="shared" ref="DG4:DG35" si="35">ROUND(F4/1000/1000,2)</f>
        <v>2.64</v>
      </c>
      <c r="DH4" s="475">
        <f t="shared" ref="DH4:DH35" si="36">ROUND(G4/1000,2)</f>
        <v>6.3</v>
      </c>
      <c r="DI4" s="475">
        <f t="shared" ref="DI4:DI35" si="37">ROUND(H4,1)</f>
        <v>418.6</v>
      </c>
      <c r="DJ4" s="475">
        <f t="shared" ref="DJ4:DJ35" si="38">ROUND(I4,0)</f>
        <v>15</v>
      </c>
      <c r="DK4" s="475">
        <f t="shared" ref="DK4:DK35" si="39">ROUND(K4,1)</f>
        <v>1.8</v>
      </c>
      <c r="DL4" s="475">
        <f t="shared" ref="DL4:DL35" si="40">ROUND(L4,1)</f>
        <v>1.6</v>
      </c>
      <c r="DM4" s="475">
        <f t="shared" ref="DM4:DM35" si="41">ROUND(M4,1)</f>
        <v>5.4</v>
      </c>
      <c r="DN4" s="475">
        <f t="shared" ref="DN4:DN35" si="42">ROUND(J4*100,0)</f>
        <v>100</v>
      </c>
      <c r="DO4" s="475">
        <f t="shared" ref="DO4:DO35" si="43">ROUND(N4,0)</f>
        <v>3497737</v>
      </c>
      <c r="DP4" s="475">
        <f t="shared" ref="DP4:DP35" si="44">ROUND(T4,0)</f>
        <v>2383059</v>
      </c>
      <c r="DQ4" s="464">
        <f t="shared" ref="DQ4:DQ35" si="45">ROUND(R4,2)</f>
        <v>0.9</v>
      </c>
      <c r="DR4" s="464">
        <f t="shared" ref="DR4:DR35" si="46">ROUND(U4,0)</f>
        <v>2</v>
      </c>
      <c r="DS4" s="464">
        <f t="shared" ref="DS4:DS35" si="47">ROUND(Q4,0)</f>
        <v>1135812</v>
      </c>
      <c r="DT4" s="464">
        <f t="shared" ref="DT4:DT35" si="48">ROUND(Z4,1)</f>
        <v>3.1</v>
      </c>
      <c r="DU4" s="464">
        <f t="shared" ref="DU4:DU35" si="49">ROUND(Y4,1)</f>
        <v>1.5</v>
      </c>
      <c r="DV4" s="464">
        <f t="shared" ref="DV4:DV35" si="50">ROUND(BI4,2)</f>
        <v>118.34</v>
      </c>
      <c r="DW4" s="464">
        <f t="shared" ref="DW4:DW35" si="51">ROUND(BK4,2)</f>
        <v>0</v>
      </c>
      <c r="DX4" s="464">
        <f t="shared" ref="DX4:DX35" si="52">ROUND(AN4*100,0)</f>
        <v>97</v>
      </c>
      <c r="DY4" s="464">
        <f t="shared" ref="DY4:DY35" si="53">ROUND(AO4*100,0)</f>
        <v>64</v>
      </c>
      <c r="DZ4" s="464">
        <f t="shared" ref="DZ4:DZ35" si="54">ROUND(AP4*100,0)</f>
        <v>36</v>
      </c>
      <c r="EA4" s="464">
        <f t="shared" ref="EA4:EA35" si="55">ROUND(BE4,0)</f>
        <v>221964</v>
      </c>
      <c r="EB4" s="464">
        <f t="shared" ref="EB4:EB35" si="56">ROUND(BF4,0)</f>
        <v>841</v>
      </c>
      <c r="EC4" s="464">
        <f t="shared" ref="EC4:EC35" si="57">ROUND(BG4,0)</f>
        <v>25</v>
      </c>
      <c r="ED4" s="464">
        <f t="shared" ref="ED4:ED35" si="58">ROUND(BS4,5)</f>
        <v>0.23830999999999999</v>
      </c>
      <c r="EE4" s="464">
        <f t="shared" ref="EE4:EE35" si="59">ROUND(BT4,2)</f>
        <v>1.44</v>
      </c>
      <c r="EF4" s="486">
        <f>ROUND(AQ4,2)</f>
        <v>1.45</v>
      </c>
      <c r="EG4" s="486" t="str">
        <f>AR4</f>
        <v>marginally possible now</v>
      </c>
      <c r="EH4" s="486">
        <f>ROUND(AJ4,2)</f>
        <v>4.0199999999999996</v>
      </c>
      <c r="EI4" s="275">
        <f>ROUND(AK4,2)</f>
        <v>1.66</v>
      </c>
      <c r="EJ4" s="275">
        <f>ROUND(AL4,2)</f>
        <v>1.32</v>
      </c>
    </row>
    <row r="5" spans="1:140" s="275" customFormat="1" ht="44" customHeight="1" thickBot="1" x14ac:dyDescent="0.4">
      <c r="A5" s="389">
        <v>2</v>
      </c>
      <c r="B5" s="281" t="s">
        <v>406</v>
      </c>
      <c r="C5" s="257">
        <v>2</v>
      </c>
      <c r="D5" s="256" t="s">
        <v>399</v>
      </c>
      <c r="E5" s="258"/>
      <c r="F5" s="259">
        <v>3308111</v>
      </c>
      <c r="G5" s="259">
        <v>3291.28</v>
      </c>
      <c r="H5" s="260">
        <f t="shared" ref="H5:H69" si="60">F5/G5</f>
        <v>1005.1138159014122</v>
      </c>
      <c r="I5" s="260">
        <f t="shared" ref="I5:I74" si="61">G5/H5</f>
        <v>3.2745346327254441</v>
      </c>
      <c r="J5" s="261">
        <v>1</v>
      </c>
      <c r="K5" s="262">
        <v>1.77689075630252</v>
      </c>
      <c r="L5" s="262">
        <v>1.85</v>
      </c>
      <c r="M5" s="262">
        <v>3.74</v>
      </c>
      <c r="N5" s="260">
        <f t="shared" si="5"/>
        <v>4407696.5195879852</v>
      </c>
      <c r="O5" s="258"/>
      <c r="P5" s="260">
        <f t="shared" ref="P5:P69" si="62">24*3600*0.0208*(AT5/10^6)^0.99</f>
        <v>10894.95301927179</v>
      </c>
      <c r="Q5" s="453">
        <f>P5+P6+0.3*P4</f>
        <v>409134.66452466731</v>
      </c>
      <c r="R5" s="263">
        <f t="shared" ref="R5:R22" si="63">S5*2</f>
        <v>0.88899999857000001</v>
      </c>
      <c r="S5" s="262">
        <v>0.444499999285</v>
      </c>
      <c r="T5" s="260">
        <f t="shared" si="6"/>
        <v>2940910.6742694015</v>
      </c>
      <c r="U5" s="259">
        <v>3</v>
      </c>
      <c r="V5" s="264">
        <f t="shared" si="7"/>
        <v>2.8772489243765</v>
      </c>
      <c r="W5" s="264">
        <f t="shared" si="8"/>
        <v>9.0224981897966661</v>
      </c>
      <c r="X5" s="260">
        <f t="shared" ref="X5:X22" si="64">T5*2</f>
        <v>5881821.3485388029</v>
      </c>
      <c r="Y5" s="263">
        <f t="shared" si="9"/>
        <v>1.4987522600233247</v>
      </c>
      <c r="Z5" s="264">
        <f t="shared" si="10"/>
        <v>10.773216991302478</v>
      </c>
      <c r="AA5" s="264">
        <f t="shared" si="11"/>
        <v>6.9559179084265621E-2</v>
      </c>
      <c r="AB5" s="266">
        <f t="shared" si="12"/>
        <v>3.6930537854814358E-2</v>
      </c>
      <c r="AC5" s="266">
        <f t="shared" ref="AC5:AC74" si="65">AB5/(0.3*AA5)</f>
        <v>1.7697418869801897</v>
      </c>
      <c r="AD5" s="266">
        <f t="shared" si="13"/>
        <v>0.66722167944182931</v>
      </c>
      <c r="AE5" s="266">
        <f t="shared" si="14"/>
        <v>7.1974428358024853E-2</v>
      </c>
      <c r="AF5" s="258"/>
      <c r="AG5" s="267">
        <v>-71.873377000000005</v>
      </c>
      <c r="AH5" s="263">
        <f>(AG5^2*-0.304-43.623*AG5-1561.6)*0.4012-0.2907</f>
        <v>1.0471010670941565</v>
      </c>
      <c r="AI5" s="263">
        <f t="shared" ref="AI5:AI75" si="66">1.2/AH5</f>
        <v>1.1460211795315596</v>
      </c>
      <c r="AJ5" s="263">
        <f t="shared" ref="AJ5:AJ75" si="67">-LN(0.01)/AI5</f>
        <v>4.0183988465819382</v>
      </c>
      <c r="AK5" s="263">
        <f t="shared" ref="AK5:AK75" si="68">-LN(0.15)/AI5</f>
        <v>1.6553969671497137</v>
      </c>
      <c r="AL5" s="263">
        <f t="shared" ref="AL5:AL69" si="69">-LN(0.22)/AI5</f>
        <v>1.3212039704612448</v>
      </c>
      <c r="AM5" s="262">
        <v>0.444499999285</v>
      </c>
      <c r="AN5" s="261">
        <v>1</v>
      </c>
      <c r="AO5" s="261">
        <v>0.52941176470588203</v>
      </c>
      <c r="AP5" s="261">
        <v>0.22689075630252101</v>
      </c>
      <c r="AQ5" s="481">
        <f t="shared" ref="AQ5:AQ68" si="70">1+S5</f>
        <v>1.4444999992850001</v>
      </c>
      <c r="AR5" s="268" t="str">
        <f>IF(BL5=0,IF(M5&lt;S5+1,"unlikely, too shallow",IF(AK5&gt;S5+1,IF(AO5&gt;0,(IF(AL5&gt;S5+1,"possible now","marginally possible now")),"possible if water clarity improves"),"possible if water clarity improves")),IF(LEFT(BM5,1)="y","currently present, field verified",IF(LEFT(BM5,1)="n","mapped as present but not field verified",IF(LEFT(BM5,1)="a","not mapped in 2017, but field verified by another source","mapped as present but only partially field verified"))))</f>
        <v>not mapped in 2017, but field verified by another source</v>
      </c>
      <c r="AS5" s="258"/>
      <c r="AT5" s="259">
        <v>6173818</v>
      </c>
      <c r="AU5" s="259">
        <v>0</v>
      </c>
      <c r="AV5" s="259">
        <v>0</v>
      </c>
      <c r="AW5" s="259">
        <v>651.94141729883029</v>
      </c>
      <c r="AX5" s="259">
        <v>654.41123960305038</v>
      </c>
      <c r="AY5" s="259">
        <v>487.62022754521342</v>
      </c>
      <c r="AZ5" s="259">
        <v>2646.4888000000001</v>
      </c>
      <c r="BA5" s="269"/>
      <c r="BB5" s="259">
        <v>4440.4616844470938</v>
      </c>
      <c r="BC5" s="260">
        <f t="shared" si="15"/>
        <v>4440.4616844470938</v>
      </c>
      <c r="BD5" s="260">
        <f t="shared" si="16"/>
        <v>13.422952508084201</v>
      </c>
      <c r="BE5" s="453">
        <f>(BC5+BC6+0.3*BC4)</f>
        <v>84799.862051945558</v>
      </c>
      <c r="BF5" s="453">
        <f>(BC5+BC6+0.3*BC4)/SUM(F4:F6)*10000</f>
        <v>125.34443843301098</v>
      </c>
      <c r="BG5" s="280">
        <f>(AV5+AV6+0.3*AV4)/BE5*100</f>
        <v>19.863457170345178</v>
      </c>
      <c r="BH5" s="258"/>
      <c r="BI5" s="262">
        <f t="shared" ref="BI5:BI68" si="71">BJ5*0.00025</f>
        <v>378.85375000000005</v>
      </c>
      <c r="BJ5" s="259">
        <v>1515415.0000000002</v>
      </c>
      <c r="BK5" s="262">
        <f>196/4046.86</f>
        <v>4.8432611950994103E-2</v>
      </c>
      <c r="BL5" s="259" t="s">
        <v>552</v>
      </c>
      <c r="BM5" s="279" t="s">
        <v>714</v>
      </c>
      <c r="BN5" s="258"/>
      <c r="BO5" s="260">
        <f>F5/10000</f>
        <v>330.81110000000001</v>
      </c>
      <c r="BP5" s="260">
        <f t="shared" si="0"/>
        <v>3.2745346327254441</v>
      </c>
      <c r="BQ5" s="263">
        <f t="shared" si="1"/>
        <v>3.74</v>
      </c>
      <c r="BR5" s="260">
        <f t="shared" si="17"/>
        <v>3</v>
      </c>
      <c r="BS5" s="265">
        <f t="shared" si="2"/>
        <v>6.9559179084265621E-2</v>
      </c>
      <c r="BT5" s="263">
        <f t="shared" si="3"/>
        <v>1.7697418869801897</v>
      </c>
      <c r="BU5" s="260">
        <f t="shared" si="4"/>
        <v>19.863457170345178</v>
      </c>
      <c r="BV5" s="258"/>
      <c r="BW5" s="321"/>
      <c r="BX5" s="232">
        <v>0</v>
      </c>
      <c r="BY5" s="231" t="s">
        <v>518</v>
      </c>
      <c r="BZ5" s="316">
        <v>1</v>
      </c>
      <c r="CA5" s="343">
        <v>20</v>
      </c>
      <c r="CB5" s="138"/>
      <c r="CC5" s="315">
        <v>0</v>
      </c>
      <c r="CD5" s="231" t="s">
        <v>517</v>
      </c>
      <c r="CE5" s="316">
        <v>1</v>
      </c>
      <c r="CF5" s="343">
        <v>10</v>
      </c>
      <c r="CG5" s="138"/>
      <c r="CI5" s="258"/>
      <c r="CJ5" s="312" t="str">
        <f t="shared" si="18"/>
        <v>complex hydrodynamics</v>
      </c>
      <c r="CK5" s="313">
        <f t="shared" si="19"/>
        <v>3</v>
      </c>
      <c r="CL5" s="312" t="str">
        <f t="shared" si="20"/>
        <v>intermediate complexity water quality</v>
      </c>
      <c r="CM5" s="313">
        <f t="shared" si="21"/>
        <v>2</v>
      </c>
      <c r="CN5" s="312" t="str">
        <f t="shared" si="22"/>
        <v>moderate</v>
      </c>
      <c r="CO5" s="313">
        <f t="shared" si="23"/>
        <v>2</v>
      </c>
      <c r="CP5" s="312" t="str">
        <f t="shared" si="24"/>
        <v>mid-size</v>
      </c>
      <c r="CQ5" s="313">
        <f t="shared" si="25"/>
        <v>4</v>
      </c>
      <c r="CR5" s="312" t="str">
        <f t="shared" si="26"/>
        <v>very low</v>
      </c>
      <c r="CS5" s="313">
        <f t="shared" si="27"/>
        <v>1</v>
      </c>
      <c r="CT5" s="312" t="str">
        <f t="shared" si="28"/>
        <v>mouth</v>
      </c>
      <c r="CU5" s="313">
        <f t="shared" si="29"/>
        <v>4</v>
      </c>
      <c r="CV5" s="313">
        <f t="shared" si="30"/>
        <v>145</v>
      </c>
      <c r="CW5" s="313" t="str">
        <f t="shared" si="31"/>
        <v>complex hydrodynamics</v>
      </c>
      <c r="CX5" s="313">
        <f>CK5*$CA$7+CM5*$CF$7+CU5*$CG$11+CQ5*$CA$11+CS5*$CD$11+CO5*$BX$11</f>
        <v>91</v>
      </c>
      <c r="CY5" s="313" t="str">
        <f t="shared" si="32"/>
        <v>intermediate complexity water quality</v>
      </c>
      <c r="CZ5" s="273" t="s">
        <v>402</v>
      </c>
      <c r="DA5" s="272" t="str">
        <f t="shared" ref="DA5:DA22" si="72">IF(BU5&gt;0,"WASP","-")</f>
        <v>WASP</v>
      </c>
      <c r="DB5" s="271" t="str">
        <f t="shared" si="33"/>
        <v>complex hydrodynamics; intermediate complexity water quality (WASP)</v>
      </c>
      <c r="DC5" s="274"/>
      <c r="DD5" s="475" t="str">
        <f t="shared" ref="DD5:DD68" si="73">B5</f>
        <v>Little Narragansett Bay</v>
      </c>
      <c r="DE5" s="475">
        <f t="shared" ref="DE5:DE68" si="74">C5</f>
        <v>2</v>
      </c>
      <c r="DF5" s="475">
        <f t="shared" si="34"/>
        <v>6.17</v>
      </c>
      <c r="DG5" s="476">
        <f t="shared" si="35"/>
        <v>3.31</v>
      </c>
      <c r="DH5" s="475">
        <f t="shared" si="36"/>
        <v>3.29</v>
      </c>
      <c r="DI5" s="475">
        <f t="shared" si="37"/>
        <v>1005.1</v>
      </c>
      <c r="DJ5" s="475">
        <f t="shared" si="38"/>
        <v>3</v>
      </c>
      <c r="DK5" s="475">
        <f t="shared" si="39"/>
        <v>1.8</v>
      </c>
      <c r="DL5" s="475">
        <f t="shared" si="40"/>
        <v>1.9</v>
      </c>
      <c r="DM5" s="475">
        <f t="shared" si="41"/>
        <v>3.7</v>
      </c>
      <c r="DN5" s="475">
        <f t="shared" si="42"/>
        <v>100</v>
      </c>
      <c r="DO5" s="475">
        <f t="shared" si="43"/>
        <v>4407697</v>
      </c>
      <c r="DP5" s="475">
        <f t="shared" si="44"/>
        <v>2940911</v>
      </c>
      <c r="DQ5" s="464">
        <f t="shared" si="45"/>
        <v>0.89</v>
      </c>
      <c r="DR5" s="464">
        <f t="shared" si="46"/>
        <v>3</v>
      </c>
      <c r="DS5" s="464">
        <f t="shared" si="47"/>
        <v>409135</v>
      </c>
      <c r="DT5" s="464">
        <f t="shared" si="48"/>
        <v>10.8</v>
      </c>
      <c r="DU5" s="464">
        <f t="shared" si="49"/>
        <v>1.5</v>
      </c>
      <c r="DV5" s="464">
        <f t="shared" si="50"/>
        <v>378.85</v>
      </c>
      <c r="DW5" s="464">
        <f t="shared" si="51"/>
        <v>0.05</v>
      </c>
      <c r="DX5" s="464">
        <f t="shared" si="52"/>
        <v>100</v>
      </c>
      <c r="DY5" s="464">
        <f t="shared" si="53"/>
        <v>53</v>
      </c>
      <c r="DZ5" s="464">
        <f t="shared" si="54"/>
        <v>23</v>
      </c>
      <c r="EA5" s="464">
        <f t="shared" si="55"/>
        <v>84800</v>
      </c>
      <c r="EB5" s="464">
        <f t="shared" si="56"/>
        <v>125</v>
      </c>
      <c r="EC5" s="464">
        <f t="shared" si="57"/>
        <v>20</v>
      </c>
      <c r="ED5" s="464">
        <f t="shared" si="58"/>
        <v>6.9559999999999997E-2</v>
      </c>
      <c r="EE5" s="464">
        <f t="shared" si="59"/>
        <v>1.77</v>
      </c>
      <c r="EF5" s="275">
        <f t="shared" ref="EF5:EF68" si="75">ROUND(AQ5,2)</f>
        <v>1.44</v>
      </c>
      <c r="EG5" s="275" t="str">
        <f t="shared" ref="EG5:EG68" si="76">AR5</f>
        <v>not mapped in 2017, but field verified by another source</v>
      </c>
      <c r="EH5" s="275">
        <f t="shared" ref="EH5:EH68" si="77">ROUND(AJ5,2)</f>
        <v>4.0199999999999996</v>
      </c>
      <c r="EI5" s="275">
        <f t="shared" ref="EI5:EI68" si="78">ROUND(AK5,2)</f>
        <v>1.66</v>
      </c>
      <c r="EJ5" s="275">
        <f t="shared" ref="EJ5:EJ68" si="79">ROUND(AL5,2)</f>
        <v>1.32</v>
      </c>
    </row>
    <row r="6" spans="1:140" s="275" customFormat="1" ht="44" customHeight="1" x14ac:dyDescent="0.35">
      <c r="A6" s="389">
        <v>3</v>
      </c>
      <c r="B6" s="281" t="s">
        <v>407</v>
      </c>
      <c r="C6" s="257">
        <v>3</v>
      </c>
      <c r="D6" s="256" t="s">
        <v>398</v>
      </c>
      <c r="E6" s="258"/>
      <c r="F6" s="259">
        <v>818774</v>
      </c>
      <c r="G6" s="259">
        <v>2860.3939999999998</v>
      </c>
      <c r="H6" s="260">
        <f t="shared" si="60"/>
        <v>286.24518160784845</v>
      </c>
      <c r="I6" s="260">
        <f t="shared" si="61"/>
        <v>9.9928110018588754</v>
      </c>
      <c r="J6" s="261">
        <v>1</v>
      </c>
      <c r="K6" s="262">
        <v>1.31451612903226</v>
      </c>
      <c r="L6" s="262">
        <v>0.95</v>
      </c>
      <c r="M6" s="262">
        <v>2.5499999999999998</v>
      </c>
      <c r="N6" s="260">
        <f t="shared" si="5"/>
        <v>711527.82315939828</v>
      </c>
      <c r="O6" s="258"/>
      <c r="P6" s="260">
        <f t="shared" si="62"/>
        <v>57495.974116442689</v>
      </c>
      <c r="Q6" s="260">
        <f t="shared" ref="Q6:Q28" si="80">P6</f>
        <v>57495.974116442689</v>
      </c>
      <c r="R6" s="263">
        <f t="shared" si="63"/>
        <v>0.89099997281999999</v>
      </c>
      <c r="S6" s="262">
        <v>0.44549998640999999</v>
      </c>
      <c r="T6" s="260">
        <f t="shared" si="6"/>
        <v>729527.61174572271</v>
      </c>
      <c r="U6" s="259">
        <v>2</v>
      </c>
      <c r="V6" s="264">
        <f t="shared" si="7"/>
        <v>2.3372894593053348</v>
      </c>
      <c r="W6" s="264">
        <f t="shared" si="8"/>
        <v>7.3439033194283825</v>
      </c>
      <c r="X6" s="260">
        <f t="shared" si="64"/>
        <v>1459055.2234914454</v>
      </c>
      <c r="Y6" s="263">
        <f t="shared" si="9"/>
        <v>0.97532678914886872</v>
      </c>
      <c r="Z6" s="264">
        <f t="shared" si="10"/>
        <v>12.375263383109038</v>
      </c>
      <c r="AA6" s="264">
        <f t="shared" si="11"/>
        <v>3.9406304292484373E-2</v>
      </c>
      <c r="AB6" s="266">
        <f t="shared" si="12"/>
        <v>2.4876670075949001E-2</v>
      </c>
      <c r="AC6" s="266">
        <f t="shared" si="65"/>
        <v>2.1042885161476996</v>
      </c>
      <c r="AD6" s="266">
        <f t="shared" si="13"/>
        <v>1.0252973784024353</v>
      </c>
      <c r="AE6" s="266">
        <f t="shared" si="14"/>
        <v>4.0774578747084525E-2</v>
      </c>
      <c r="AF6" s="258"/>
      <c r="AG6" s="267">
        <v>-71.883201</v>
      </c>
      <c r="AH6" s="277">
        <v>0.77826094503257892</v>
      </c>
      <c r="AI6" s="277">
        <f t="shared" si="66"/>
        <v>1.5418992918239864</v>
      </c>
      <c r="AJ6" s="277">
        <f t="shared" si="67"/>
        <v>2.9866867508191244</v>
      </c>
      <c r="AK6" s="277">
        <f t="shared" si="68"/>
        <v>1.2303786602312317</v>
      </c>
      <c r="AL6" s="277">
        <f t="shared" si="69"/>
        <v>0.98198873341373771</v>
      </c>
      <c r="AM6" s="278">
        <v>0.44549998640999999</v>
      </c>
      <c r="AN6" s="261">
        <v>1</v>
      </c>
      <c r="AO6" s="261">
        <v>0.58064516129032295</v>
      </c>
      <c r="AP6" s="261">
        <v>0.25806451612903197</v>
      </c>
      <c r="AQ6" s="481">
        <f t="shared" si="70"/>
        <v>1.44549998641</v>
      </c>
      <c r="AR6" s="268" t="str">
        <f>IF(BL6=0,IF(M6&lt;S6+1,"unlikely, too shallow",IF(AK6&gt;S6+1,IF(AO6&gt;0,(IF(AL6&gt;S6+1,"possible now","marginally possible now")),"possible if water clarity improves"),"possible if water clarity improves")),IF(LEFT(BM6,1)="y","currently present, field verified",IF(LEFT(BM6,1)="n","mapped as present but not field verified",IF(LEFT(BM6,1)="a","not mapped in 2017, but field verified by another source","mapped as present but only partially field verified"))))</f>
        <v>possible if water clarity improves</v>
      </c>
      <c r="AS6" s="258"/>
      <c r="AT6" s="259">
        <v>33133170</v>
      </c>
      <c r="AU6" s="259">
        <v>0</v>
      </c>
      <c r="AV6" s="259">
        <v>0</v>
      </c>
      <c r="AW6" s="259">
        <v>3622.5714428443061</v>
      </c>
      <c r="AX6" s="259">
        <v>7668.0394743599818</v>
      </c>
      <c r="AY6" s="259">
        <v>1824.6313684002348</v>
      </c>
      <c r="AZ6" s="259">
        <v>655.01920000000007</v>
      </c>
      <c r="BA6" s="269"/>
      <c r="BB6" s="259">
        <v>13770.261485604522</v>
      </c>
      <c r="BC6" s="260">
        <f t="shared" si="15"/>
        <v>13770.261485604522</v>
      </c>
      <c r="BD6" s="260">
        <f t="shared" si="16"/>
        <v>168.18146992460095</v>
      </c>
      <c r="BE6" s="260">
        <f>BC6</f>
        <v>13770.261485604522</v>
      </c>
      <c r="BF6" s="260">
        <f>BD6</f>
        <v>168.18146992460095</v>
      </c>
      <c r="BG6" s="270">
        <f t="shared" ref="BG6:BG22" si="81">AV6/BE6*100</f>
        <v>0</v>
      </c>
      <c r="BH6" s="258"/>
      <c r="BI6" s="262">
        <f t="shared" si="71"/>
        <v>127.38475</v>
      </c>
      <c r="BJ6" s="259">
        <v>509539</v>
      </c>
      <c r="BK6" s="262">
        <v>0</v>
      </c>
      <c r="BL6" s="259">
        <f t="shared" ref="BL6:BL74" si="82">4046.86*BK6</f>
        <v>0</v>
      </c>
      <c r="BM6" s="259" t="s">
        <v>549</v>
      </c>
      <c r="BN6" s="258"/>
      <c r="BO6" s="260">
        <f>F6/10000</f>
        <v>81.877399999999994</v>
      </c>
      <c r="BP6" s="260">
        <f t="shared" si="0"/>
        <v>9.9928110018588754</v>
      </c>
      <c r="BQ6" s="263">
        <f t="shared" si="1"/>
        <v>2.5499999999999998</v>
      </c>
      <c r="BR6" s="260">
        <f t="shared" si="17"/>
        <v>2</v>
      </c>
      <c r="BS6" s="265">
        <f t="shared" si="2"/>
        <v>3.9406304292484373E-2</v>
      </c>
      <c r="BT6" s="263">
        <f t="shared" si="3"/>
        <v>2.1042885161476996</v>
      </c>
      <c r="BU6" s="260">
        <f t="shared" si="4"/>
        <v>0</v>
      </c>
      <c r="BV6" s="258"/>
      <c r="BW6" s="321"/>
      <c r="BX6" s="232">
        <v>3.0000000000000001E-3</v>
      </c>
      <c r="BY6" s="231" t="s">
        <v>511</v>
      </c>
      <c r="BZ6" s="316">
        <v>2</v>
      </c>
      <c r="CA6" s="459" t="s">
        <v>609</v>
      </c>
      <c r="CB6" s="138"/>
      <c r="CC6" s="315">
        <v>1</v>
      </c>
      <c r="CD6" s="231" t="s">
        <v>516</v>
      </c>
      <c r="CE6" s="316">
        <v>2</v>
      </c>
      <c r="CF6" s="459" t="s">
        <v>609</v>
      </c>
      <c r="CG6" s="138"/>
      <c r="CI6" s="258"/>
      <c r="CJ6" s="312" t="str">
        <f t="shared" si="18"/>
        <v>intermediate complexity hydrodynamics</v>
      </c>
      <c r="CK6" s="313">
        <f t="shared" si="19"/>
        <v>2</v>
      </c>
      <c r="CL6" s="312" t="str">
        <f t="shared" si="20"/>
        <v>intermediate complexity water quality</v>
      </c>
      <c r="CM6" s="313">
        <f t="shared" si="21"/>
        <v>2</v>
      </c>
      <c r="CN6" s="312" t="str">
        <f t="shared" si="22"/>
        <v>shallow</v>
      </c>
      <c r="CO6" s="313">
        <f t="shared" si="23"/>
        <v>1</v>
      </c>
      <c r="CP6" s="312" t="str">
        <f t="shared" si="24"/>
        <v>mid-size</v>
      </c>
      <c r="CQ6" s="313">
        <f t="shared" si="25"/>
        <v>4</v>
      </c>
      <c r="CR6" s="312" t="str">
        <f t="shared" si="26"/>
        <v>very low</v>
      </c>
      <c r="CS6" s="313">
        <f t="shared" si="27"/>
        <v>1</v>
      </c>
      <c r="CT6" s="312" t="str">
        <f t="shared" si="28"/>
        <v>mid-estuary</v>
      </c>
      <c r="CU6" s="313">
        <f t="shared" si="29"/>
        <v>3</v>
      </c>
      <c r="CV6" s="313">
        <f t="shared" si="30"/>
        <v>114</v>
      </c>
      <c r="CW6" s="313" t="str">
        <f t="shared" si="31"/>
        <v>intermediate complexity hydrodynamics</v>
      </c>
      <c r="CX6" s="313">
        <f>CK6*$CA$7+CM6*$CF$7+CU6*$CG$11+CQ6*$CA$11+CS6*$CD$11+CO6*$BX$11</f>
        <v>70</v>
      </c>
      <c r="CY6" s="313" t="str">
        <f t="shared" si="32"/>
        <v>intermediate complexity water quality</v>
      </c>
      <c r="CZ6" s="273" t="s">
        <v>402</v>
      </c>
      <c r="DA6" s="272" t="str">
        <f t="shared" si="72"/>
        <v>-</v>
      </c>
      <c r="DB6" s="271" t="str">
        <f t="shared" si="33"/>
        <v>intermediate complexity hydrodynamics; intermediate complexity water quality</v>
      </c>
      <c r="DC6" s="274"/>
      <c r="DD6" s="475" t="str">
        <f t="shared" si="73"/>
        <v>Wequetequock Cove</v>
      </c>
      <c r="DE6" s="475">
        <f t="shared" si="74"/>
        <v>3</v>
      </c>
      <c r="DF6" s="475">
        <f t="shared" si="34"/>
        <v>33.130000000000003</v>
      </c>
      <c r="DG6" s="476">
        <f t="shared" si="35"/>
        <v>0.82</v>
      </c>
      <c r="DH6" s="475">
        <f t="shared" si="36"/>
        <v>2.86</v>
      </c>
      <c r="DI6" s="475">
        <f t="shared" si="37"/>
        <v>286.2</v>
      </c>
      <c r="DJ6" s="475">
        <f t="shared" si="38"/>
        <v>10</v>
      </c>
      <c r="DK6" s="475">
        <f t="shared" si="39"/>
        <v>1.3</v>
      </c>
      <c r="DL6" s="475">
        <f t="shared" si="40"/>
        <v>1</v>
      </c>
      <c r="DM6" s="475">
        <f t="shared" si="41"/>
        <v>2.6</v>
      </c>
      <c r="DN6" s="475">
        <f t="shared" si="42"/>
        <v>100</v>
      </c>
      <c r="DO6" s="475">
        <f t="shared" si="43"/>
        <v>711528</v>
      </c>
      <c r="DP6" s="475">
        <f t="shared" si="44"/>
        <v>729528</v>
      </c>
      <c r="DQ6" s="464">
        <f t="shared" si="45"/>
        <v>0.89</v>
      </c>
      <c r="DR6" s="464">
        <f t="shared" si="46"/>
        <v>2</v>
      </c>
      <c r="DS6" s="464">
        <f t="shared" si="47"/>
        <v>57496</v>
      </c>
      <c r="DT6" s="464">
        <f t="shared" si="48"/>
        <v>12.4</v>
      </c>
      <c r="DU6" s="464">
        <f t="shared" si="49"/>
        <v>1</v>
      </c>
      <c r="DV6" s="464">
        <f t="shared" si="50"/>
        <v>127.38</v>
      </c>
      <c r="DW6" s="464">
        <f t="shared" si="51"/>
        <v>0</v>
      </c>
      <c r="DX6" s="464">
        <f t="shared" si="52"/>
        <v>100</v>
      </c>
      <c r="DY6" s="464">
        <f t="shared" si="53"/>
        <v>58</v>
      </c>
      <c r="DZ6" s="464">
        <f t="shared" si="54"/>
        <v>26</v>
      </c>
      <c r="EA6" s="464">
        <f t="shared" si="55"/>
        <v>13770</v>
      </c>
      <c r="EB6" s="464">
        <f t="shared" si="56"/>
        <v>168</v>
      </c>
      <c r="EC6" s="464">
        <f t="shared" si="57"/>
        <v>0</v>
      </c>
      <c r="ED6" s="464">
        <f t="shared" si="58"/>
        <v>3.9410000000000001E-2</v>
      </c>
      <c r="EE6" s="464">
        <f t="shared" si="59"/>
        <v>2.1</v>
      </c>
      <c r="EF6" s="275">
        <f t="shared" si="75"/>
        <v>1.45</v>
      </c>
      <c r="EG6" s="275" t="str">
        <f t="shared" si="76"/>
        <v>possible if water clarity improves</v>
      </c>
      <c r="EH6" s="275">
        <f t="shared" si="77"/>
        <v>2.99</v>
      </c>
      <c r="EI6" s="275">
        <f t="shared" si="78"/>
        <v>1.23</v>
      </c>
      <c r="EJ6" s="275">
        <f t="shared" si="79"/>
        <v>0.98</v>
      </c>
    </row>
    <row r="7" spans="1:140" ht="44" customHeight="1" thickBot="1" x14ac:dyDescent="0.4">
      <c r="A7" s="388">
        <v>3.5</v>
      </c>
      <c r="B7" s="215" t="s">
        <v>693</v>
      </c>
      <c r="C7" s="451" t="s">
        <v>692</v>
      </c>
      <c r="D7" s="196"/>
      <c r="E7" s="221"/>
      <c r="F7" s="197">
        <f>SUM(F4:F6)</f>
        <v>6765347</v>
      </c>
      <c r="G7" s="197">
        <f>SUM(G4:G6)</f>
        <v>12454.482</v>
      </c>
      <c r="H7" s="241">
        <f>F7/G7</f>
        <v>543.20581136975431</v>
      </c>
      <c r="I7" s="241">
        <f>G7/H7</f>
        <v>22.927740718742733</v>
      </c>
      <c r="J7" s="452">
        <f>SUM(J5*($F5/$F7),J6*($F6/$F7),J4*($F4/$F7))</f>
        <v>1</v>
      </c>
      <c r="K7" s="242">
        <f>SUM(K5*($F5/$F7),K6*($F6/$F7),K4*($F4/$F7))</f>
        <v>1.7210809793348969</v>
      </c>
      <c r="L7" s="242">
        <f>SUM(L5*($F5/$F7),L6*($F6/$F7),L4*($F4/$F7))</f>
        <v>1.6240788166519766</v>
      </c>
      <c r="M7" s="242">
        <f>MAX(M4:M6)</f>
        <v>5.35</v>
      </c>
      <c r="N7" s="241">
        <f t="shared" si="5"/>
        <v>8629748.0437414721</v>
      </c>
      <c r="O7" s="221"/>
      <c r="P7" s="241"/>
      <c r="Q7" s="457">
        <f>Q5</f>
        <v>409134.66452466731</v>
      </c>
      <c r="R7" s="242">
        <f>S7*2</f>
        <v>0.89099997281999999</v>
      </c>
      <c r="S7" s="213">
        <f>S6</f>
        <v>0.44549998640999999</v>
      </c>
      <c r="T7" s="241">
        <f t="shared" si="6"/>
        <v>6027923.9931178689</v>
      </c>
      <c r="U7" s="197">
        <v>4</v>
      </c>
      <c r="V7" s="243">
        <f t="shared" si="7"/>
        <v>4.9932819109075153</v>
      </c>
      <c r="W7" s="243">
        <f t="shared" si="8"/>
        <v>16.584294428425451</v>
      </c>
      <c r="X7" s="241">
        <f>T7*2</f>
        <v>12055847.986235738</v>
      </c>
      <c r="Y7" s="242">
        <f t="shared" si="9"/>
        <v>1.4316285430264428</v>
      </c>
      <c r="Z7" s="243">
        <f t="shared" si="10"/>
        <v>21.092683636981761</v>
      </c>
      <c r="AA7" s="243">
        <f>Q7/X7</f>
        <v>3.3936614412505846E-2</v>
      </c>
      <c r="AB7" s="245">
        <f>BE7/(Q7+X7)*1000/365</f>
        <v>1.8638484761087069E-2</v>
      </c>
      <c r="AC7" s="245">
        <f>AB7/(0.3*AA7)</f>
        <v>1.8307153972926142</v>
      </c>
      <c r="AD7" s="245">
        <f t="shared" si="13"/>
        <v>0.69850521273207777</v>
      </c>
      <c r="AE7" s="245">
        <f>(Q7/24/60/60)*44700/T7</f>
        <v>3.5114969079606748E-2</v>
      </c>
      <c r="AF7" s="221"/>
      <c r="AG7" s="211">
        <v>-71.873377000000005</v>
      </c>
      <c r="AH7" s="246">
        <f>(AG7^2*-0.304-43.623*AG7-1561.6)*0.4012-0.2907</f>
        <v>1.0471010670941565</v>
      </c>
      <c r="AI7" s="246">
        <f t="shared" si="66"/>
        <v>1.1460211795315596</v>
      </c>
      <c r="AJ7" s="242">
        <f t="shared" si="67"/>
        <v>4.0183988465819382</v>
      </c>
      <c r="AK7" s="242">
        <f>-LN(0.15)/AI7</f>
        <v>1.6553969671497137</v>
      </c>
      <c r="AL7" s="242">
        <f>-LN(0.22)/AI7</f>
        <v>1.3212039704612448</v>
      </c>
      <c r="AM7" s="242">
        <f>SUM(AM5*($F5/$F7),AM6*($F6/$F7),AM4*($F4/$F7))</f>
        <v>0.44738999249899769</v>
      </c>
      <c r="AN7" s="452">
        <f>SUM(AN5*($F5/$F7),AN6*($F6/$F7),AN4*($F4/$F7))</f>
        <v>0.98818192268047844</v>
      </c>
      <c r="AO7" s="452">
        <f>SUM(AO5*($F5/$F7),AO6*($F6/$F7),AO4*($F4/$F7))</f>
        <v>0.57732313159554638</v>
      </c>
      <c r="AP7" s="452">
        <f>SUM(AP5*($F5/$F7),AP6*($F6/$F7),AP4*($F4/$F7))</f>
        <v>0.28103934678289227</v>
      </c>
      <c r="AQ7" s="483">
        <f t="shared" si="70"/>
        <v>1.44549998641</v>
      </c>
      <c r="AR7" s="247" t="str">
        <f>IF(BL7=0,IF(M7&lt;S7+1,"unlikely, too shallow",IF(AK7&gt;S7+1,IF(AO7&gt;0,(IF(AL7&gt;S7+1,"possible now","marginally possible now")),"possible if water clarity improves"),"possible if water clarity improves")),IF(LEFT(BM7,1)="y","currently present, field verified",IF(LEFT(BM7,1)="n","mapped as present but not field verified",IF(LEFT(BM7,1)="a","not mapped in 2017, but field verified by another source","mapped as present but only partially field verified"))))</f>
        <v>not mapped in 2017, but field verified by another source</v>
      </c>
      <c r="AS7" s="221"/>
      <c r="AT7" s="241">
        <f>AT6+AT5+AT4</f>
        <v>713865688</v>
      </c>
      <c r="AU7" s="241">
        <f t="shared" ref="AU7:AZ7" si="83">AU6+AU5+AU4*0.3</f>
        <v>20954.597514280787</v>
      </c>
      <c r="AV7" s="241">
        <f t="shared" si="83"/>
        <v>16844.184279199999</v>
      </c>
      <c r="AW7" s="241">
        <f t="shared" si="83"/>
        <v>18903.312844733995</v>
      </c>
      <c r="AX7" s="241">
        <f t="shared" si="83"/>
        <v>32874.114951640229</v>
      </c>
      <c r="AY7" s="241">
        <f t="shared" si="83"/>
        <v>12243.511096371345</v>
      </c>
      <c r="AZ7" s="241">
        <f t="shared" si="83"/>
        <v>3934.7388800000003</v>
      </c>
      <c r="BA7" s="214"/>
      <c r="BB7" s="241">
        <f>BB6+BB5+BB4*0.3</f>
        <v>88910.27528702635</v>
      </c>
      <c r="BC7" s="241">
        <f t="shared" si="15"/>
        <v>84799.862051945558</v>
      </c>
      <c r="BD7" s="241">
        <f t="shared" si="16"/>
        <v>125.34443843301098</v>
      </c>
      <c r="BE7" s="457">
        <f>BC7</f>
        <v>84799.862051945558</v>
      </c>
      <c r="BF7" s="457">
        <f>BD7</f>
        <v>125.34443843301098</v>
      </c>
      <c r="BG7" s="248">
        <f>AV7/BE7*100</f>
        <v>19.863457170345178</v>
      </c>
      <c r="BH7" s="221"/>
      <c r="BI7" s="242">
        <f t="shared" si="71"/>
        <v>624.58162500000003</v>
      </c>
      <c r="BJ7" s="241">
        <f>SUM(BJ4:BJ6)</f>
        <v>2498326.5</v>
      </c>
      <c r="BK7" s="242">
        <f>SUM(BK4:BK6)</f>
        <v>4.8432611950994103E-2</v>
      </c>
      <c r="BL7" s="241">
        <v>196</v>
      </c>
      <c r="BM7" s="217" t="s">
        <v>714</v>
      </c>
      <c r="BN7" s="221"/>
      <c r="BO7" s="241">
        <f>F7/10000</f>
        <v>676.53470000000004</v>
      </c>
      <c r="BP7" s="241">
        <f t="shared" si="0"/>
        <v>22.927740718742733</v>
      </c>
      <c r="BQ7" s="242">
        <f t="shared" si="1"/>
        <v>5.35</v>
      </c>
      <c r="BR7" s="241">
        <f t="shared" si="17"/>
        <v>4</v>
      </c>
      <c r="BS7" s="244">
        <f t="shared" si="2"/>
        <v>3.3936614412505846E-2</v>
      </c>
      <c r="BT7" s="242">
        <f t="shared" si="3"/>
        <v>1.8307153972926142</v>
      </c>
      <c r="BU7" s="241">
        <f t="shared" si="4"/>
        <v>19.863457170345178</v>
      </c>
      <c r="BV7" s="221"/>
      <c r="BW7" s="317"/>
      <c r="BX7" s="347">
        <v>4.4999999999999998E-2</v>
      </c>
      <c r="BY7" s="322" t="s">
        <v>512</v>
      </c>
      <c r="BZ7" s="320">
        <v>3</v>
      </c>
      <c r="CA7" s="343">
        <v>0</v>
      </c>
      <c r="CC7" s="315">
        <v>2.5</v>
      </c>
      <c r="CD7" s="231" t="s">
        <v>515</v>
      </c>
      <c r="CE7" s="316">
        <v>3</v>
      </c>
      <c r="CF7" s="343">
        <v>15</v>
      </c>
      <c r="CI7" s="221"/>
      <c r="CJ7" s="303" t="str">
        <f t="shared" si="18"/>
        <v>intermediate complexity hydrodynamics</v>
      </c>
      <c r="CK7" s="304">
        <f t="shared" si="19"/>
        <v>2</v>
      </c>
      <c r="CL7" s="303" t="str">
        <f t="shared" si="20"/>
        <v>intermediate complexity water quality</v>
      </c>
      <c r="CM7" s="304">
        <f t="shared" si="21"/>
        <v>2</v>
      </c>
      <c r="CN7" s="303" t="str">
        <f t="shared" si="22"/>
        <v>moderate</v>
      </c>
      <c r="CO7" s="304">
        <f t="shared" si="23"/>
        <v>2</v>
      </c>
      <c r="CP7" s="303" t="str">
        <f t="shared" si="24"/>
        <v>mid-size</v>
      </c>
      <c r="CQ7" s="304">
        <f t="shared" si="25"/>
        <v>4</v>
      </c>
      <c r="CR7" s="303" t="str">
        <f t="shared" si="26"/>
        <v>moderate</v>
      </c>
      <c r="CS7" s="304">
        <f t="shared" si="27"/>
        <v>3</v>
      </c>
      <c r="CT7" s="303" t="str">
        <f t="shared" si="28"/>
        <v>multiple</v>
      </c>
      <c r="CU7" s="304">
        <f t="shared" si="29"/>
        <v>5</v>
      </c>
      <c r="CV7" s="304">
        <f t="shared" si="30"/>
        <v>128</v>
      </c>
      <c r="CW7" s="304" t="str">
        <f t="shared" si="31"/>
        <v>intermediate complexity hydrodynamics</v>
      </c>
      <c r="CX7" s="304">
        <f>CK7*$CA$7+CM7*$CF$7+CU7*$CG$11+CQ7*$CA$11+CS7*$CD$11+CO7*$BX$11</f>
        <v>94</v>
      </c>
      <c r="CY7" s="304" t="str">
        <f t="shared" si="32"/>
        <v>intermediate complexity water quality</v>
      </c>
      <c r="CZ7" s="216" t="s">
        <v>402</v>
      </c>
      <c r="DA7" s="252" t="str">
        <f>IF(BU7&gt;0,"WASP","-")</f>
        <v>WASP</v>
      </c>
      <c r="DB7" s="251" t="str">
        <f>CONCATENATE(  CW7,  "; ", CY7,IF(DA7="WASP"," (WASP)",""))</f>
        <v>intermediate complexity hydrodynamics; intermediate complexity water quality (WASP)</v>
      </c>
      <c r="DC7" s="227"/>
      <c r="DD7" s="475" t="str">
        <f t="shared" si="73"/>
        <v>Little Narragansett B. + Wequetequock C. + Pawcatuck R. (30%)</v>
      </c>
      <c r="DE7" s="475" t="str">
        <f t="shared" si="74"/>
        <v>1-2-3</v>
      </c>
      <c r="DF7" s="477">
        <f t="shared" si="34"/>
        <v>713.87</v>
      </c>
      <c r="DG7" s="478">
        <f t="shared" si="35"/>
        <v>6.77</v>
      </c>
      <c r="DH7" s="477">
        <f t="shared" si="36"/>
        <v>12.45</v>
      </c>
      <c r="DI7" s="477">
        <f t="shared" si="37"/>
        <v>543.20000000000005</v>
      </c>
      <c r="DJ7" s="477">
        <f t="shared" si="38"/>
        <v>23</v>
      </c>
      <c r="DK7" s="477">
        <f t="shared" si="39"/>
        <v>1.7</v>
      </c>
      <c r="DL7" s="477">
        <f t="shared" si="40"/>
        <v>1.6</v>
      </c>
      <c r="DM7" s="477">
        <f t="shared" si="41"/>
        <v>5.4</v>
      </c>
      <c r="DN7" s="477">
        <f t="shared" si="42"/>
        <v>100</v>
      </c>
      <c r="DO7" s="477">
        <f t="shared" si="43"/>
        <v>8629748</v>
      </c>
      <c r="DP7" s="477">
        <f t="shared" si="44"/>
        <v>6027924</v>
      </c>
      <c r="DQ7" s="467">
        <f t="shared" si="45"/>
        <v>0.89</v>
      </c>
      <c r="DR7" s="467">
        <f t="shared" si="46"/>
        <v>4</v>
      </c>
      <c r="DS7" s="467">
        <f t="shared" si="47"/>
        <v>409135</v>
      </c>
      <c r="DT7" s="467">
        <f t="shared" si="48"/>
        <v>21.1</v>
      </c>
      <c r="DU7" s="467">
        <f t="shared" si="49"/>
        <v>1.4</v>
      </c>
      <c r="DV7" s="467">
        <f t="shared" si="50"/>
        <v>624.58000000000004</v>
      </c>
      <c r="DW7" s="467">
        <f t="shared" si="51"/>
        <v>0.05</v>
      </c>
      <c r="DX7" s="467">
        <f t="shared" si="52"/>
        <v>99</v>
      </c>
      <c r="DY7" s="467">
        <f t="shared" si="53"/>
        <v>58</v>
      </c>
      <c r="DZ7" s="467">
        <f t="shared" si="54"/>
        <v>28</v>
      </c>
      <c r="EA7" s="467">
        <f t="shared" si="55"/>
        <v>84800</v>
      </c>
      <c r="EB7" s="467">
        <f t="shared" si="56"/>
        <v>125</v>
      </c>
      <c r="EC7" s="467">
        <f t="shared" si="57"/>
        <v>20</v>
      </c>
      <c r="ED7" s="467">
        <f t="shared" si="58"/>
        <v>3.3939999999999998E-2</v>
      </c>
      <c r="EE7" s="467">
        <f t="shared" si="59"/>
        <v>1.83</v>
      </c>
      <c r="EF7" s="138">
        <f t="shared" si="75"/>
        <v>1.45</v>
      </c>
      <c r="EG7" s="138" t="str">
        <f t="shared" si="76"/>
        <v>not mapped in 2017, but field verified by another source</v>
      </c>
      <c r="EH7" s="138">
        <f t="shared" si="77"/>
        <v>4.0199999999999996</v>
      </c>
      <c r="EI7" s="138">
        <f t="shared" si="78"/>
        <v>1.66</v>
      </c>
      <c r="EJ7" s="138">
        <f t="shared" si="79"/>
        <v>1.32</v>
      </c>
    </row>
    <row r="8" spans="1:140" s="275" customFormat="1" ht="44" customHeight="1" thickBot="1" x14ac:dyDescent="0.4">
      <c r="A8" s="389">
        <v>4</v>
      </c>
      <c r="B8" s="281" t="s">
        <v>408</v>
      </c>
      <c r="C8" s="257">
        <v>4</v>
      </c>
      <c r="D8" s="256" t="s">
        <v>398</v>
      </c>
      <c r="E8" s="258"/>
      <c r="F8" s="259">
        <v>187968</v>
      </c>
      <c r="G8" s="259">
        <v>1089.5440000000001</v>
      </c>
      <c r="H8" s="260">
        <f t="shared" si="60"/>
        <v>172.51987987635192</v>
      </c>
      <c r="I8" s="260">
        <f t="shared" si="61"/>
        <v>6.315469271024857</v>
      </c>
      <c r="J8" s="261">
        <v>0</v>
      </c>
      <c r="K8" s="262">
        <v>0.50000532005447695</v>
      </c>
      <c r="L8" s="262">
        <v>0.45</v>
      </c>
      <c r="M8" s="262">
        <v>1.2438000023370002</v>
      </c>
      <c r="N8" s="260">
        <f t="shared" si="5"/>
        <v>18796.8</v>
      </c>
      <c r="O8" s="258"/>
      <c r="P8" s="260">
        <f t="shared" si="62"/>
        <v>3676.9806232435535</v>
      </c>
      <c r="Q8" s="260">
        <f t="shared" si="80"/>
        <v>3676.9806232435535</v>
      </c>
      <c r="R8" s="263">
        <f t="shared" si="63"/>
        <v>0.88760000467400002</v>
      </c>
      <c r="S8" s="262">
        <v>0.44380000233700001</v>
      </c>
      <c r="T8" s="260">
        <f t="shared" si="6"/>
        <v>166840.39767856244</v>
      </c>
      <c r="U8" s="259">
        <v>3</v>
      </c>
      <c r="V8" s="264">
        <f t="shared" si="7"/>
        <v>0.96625143350296006</v>
      </c>
      <c r="W8" s="264">
        <f t="shared" si="8"/>
        <v>3.0224542061554662</v>
      </c>
      <c r="X8" s="260">
        <f t="shared" si="64"/>
        <v>333680.79535712488</v>
      </c>
      <c r="Y8" s="263">
        <f t="shared" si="9"/>
        <v>0.11266336128144597</v>
      </c>
      <c r="Z8" s="264">
        <f t="shared" si="10"/>
        <v>5.1120204118505495</v>
      </c>
      <c r="AA8" s="264">
        <f t="shared" si="11"/>
        <v>1.1019455342967017E-2</v>
      </c>
      <c r="AB8" s="266">
        <f t="shared" si="12"/>
        <v>8.3630613639612099E-3</v>
      </c>
      <c r="AC8" s="266">
        <f t="shared" si="65"/>
        <v>2.529786667813485</v>
      </c>
      <c r="AD8" s="266">
        <f t="shared" si="13"/>
        <v>8.8760000467400015</v>
      </c>
      <c r="AE8" s="266">
        <f t="shared" si="14"/>
        <v>1.140207532015337E-2</v>
      </c>
      <c r="AF8" s="258"/>
      <c r="AG8" s="267">
        <v>-71.912865999999994</v>
      </c>
      <c r="AH8" s="263">
        <f>(AG8^2*-0.304-43.623*AG8-1561.6)*0.4012-0.2907</f>
        <v>1.0457066011098508</v>
      </c>
      <c r="AI8" s="263">
        <f t="shared" si="66"/>
        <v>1.1475494165632991</v>
      </c>
      <c r="AJ8" s="263">
        <f t="shared" si="67"/>
        <v>4.0130473856016886</v>
      </c>
      <c r="AK8" s="263">
        <f t="shared" si="68"/>
        <v>1.6531924094104888</v>
      </c>
      <c r="AL8" s="263">
        <f t="shared" si="69"/>
        <v>1.3194444707787063</v>
      </c>
      <c r="AM8" s="262">
        <v>0.44380000233700001</v>
      </c>
      <c r="AN8" s="261">
        <v>1.0000106401089499</v>
      </c>
      <c r="AO8" s="261">
        <v>1.0000106401089499</v>
      </c>
      <c r="AP8" s="261">
        <v>1.0000106401089499</v>
      </c>
      <c r="AQ8" s="481">
        <f t="shared" si="70"/>
        <v>1.4438000023369999</v>
      </c>
      <c r="AR8" s="268" t="str">
        <f t="shared" ref="AR8:AR39" si="84">IF(BL8=0,IF(M8&lt;S8+1,"unlikely, too shallow",IF(AK8&gt;S8+1,IF(AO8&gt;0,(IF(AL8&gt;S8+1,"possible now","marginally possible now")),"possible if water clarity improves"),"possible if water clarity improves")),IF(LEFT(BM8,1)="y","currently present, field verified",IF(LEFT(BM8,1)="n","mapped as present but not field verified",IF(LEFT(BM8,1)="a","not mapped in 2017, but field verified by another source","mapped as present but only partially field verified"))))</f>
        <v>unlikely, too shallow</v>
      </c>
      <c r="AS8" s="258"/>
      <c r="AT8" s="259">
        <v>2060890</v>
      </c>
      <c r="AU8" s="259">
        <v>0</v>
      </c>
      <c r="AV8" s="259">
        <v>0</v>
      </c>
      <c r="AW8" s="259">
        <v>245.98898311680804</v>
      </c>
      <c r="AX8" s="259">
        <v>444.50383640752159</v>
      </c>
      <c r="AY8" s="259">
        <v>188.92326095432497</v>
      </c>
      <c r="AZ8" s="259">
        <v>150.37440000000001</v>
      </c>
      <c r="BA8" s="269"/>
      <c r="BB8" s="259">
        <v>1029.7904804786547</v>
      </c>
      <c r="BC8" s="260">
        <f t="shared" si="15"/>
        <v>1029.7904804786547</v>
      </c>
      <c r="BD8" s="260">
        <f t="shared" si="16"/>
        <v>54.785414564109566</v>
      </c>
      <c r="BE8" s="260">
        <f t="shared" ref="BE8:BE22" si="85">BC8</f>
        <v>1029.7904804786547</v>
      </c>
      <c r="BF8" s="260">
        <f t="shared" ref="BF8:BF76" si="86">BD8</f>
        <v>54.785414564109566</v>
      </c>
      <c r="BG8" s="270">
        <f t="shared" si="81"/>
        <v>0</v>
      </c>
      <c r="BH8" s="258"/>
      <c r="BI8" s="262">
        <f t="shared" si="71"/>
        <v>32.64405</v>
      </c>
      <c r="BJ8" s="259">
        <v>130576.2</v>
      </c>
      <c r="BK8" s="262">
        <v>0</v>
      </c>
      <c r="BL8" s="259">
        <f t="shared" si="82"/>
        <v>0</v>
      </c>
      <c r="BM8" s="259" t="s">
        <v>549</v>
      </c>
      <c r="BN8" s="258"/>
      <c r="BO8" s="260">
        <f t="shared" ref="BO8:BO22" si="87">F8/10000</f>
        <v>18.796800000000001</v>
      </c>
      <c r="BP8" s="260">
        <f t="shared" ref="BP8:BP22" si="88">I8</f>
        <v>6.315469271024857</v>
      </c>
      <c r="BQ8" s="263">
        <f t="shared" si="1"/>
        <v>1.2438000023370002</v>
      </c>
      <c r="BR8" s="260">
        <f t="shared" si="17"/>
        <v>3</v>
      </c>
      <c r="BS8" s="265">
        <f t="shared" si="2"/>
        <v>1.1019455342967017E-2</v>
      </c>
      <c r="BT8" s="263">
        <f t="shared" si="3"/>
        <v>2.529786667813485</v>
      </c>
      <c r="BU8" s="260">
        <f t="shared" si="4"/>
        <v>0</v>
      </c>
      <c r="BV8" s="258"/>
      <c r="BW8" s="138"/>
      <c r="BX8" s="138"/>
      <c r="BY8" s="138"/>
      <c r="BZ8" s="138"/>
      <c r="CA8" s="138"/>
      <c r="CB8" s="138"/>
      <c r="CC8" s="317">
        <v>5</v>
      </c>
      <c r="CD8" s="322" t="s">
        <v>514</v>
      </c>
      <c r="CE8" s="320">
        <v>4</v>
      </c>
      <c r="CF8" s="138"/>
      <c r="CG8" s="138"/>
      <c r="CI8" s="258"/>
      <c r="CJ8" s="312" t="str">
        <f t="shared" si="18"/>
        <v>intermediate complexity hydrodynamics</v>
      </c>
      <c r="CK8" s="313">
        <f t="shared" si="19"/>
        <v>2</v>
      </c>
      <c r="CL8" s="312" t="str">
        <f t="shared" si="20"/>
        <v>intermediate or complex water quality</v>
      </c>
      <c r="CM8" s="313">
        <f t="shared" si="21"/>
        <v>3</v>
      </c>
      <c r="CN8" s="312" t="str">
        <f t="shared" si="22"/>
        <v>shallow</v>
      </c>
      <c r="CO8" s="313">
        <f t="shared" si="23"/>
        <v>1</v>
      </c>
      <c r="CP8" s="312" t="str">
        <f t="shared" si="24"/>
        <v>very small</v>
      </c>
      <c r="CQ8" s="313">
        <f t="shared" si="25"/>
        <v>2</v>
      </c>
      <c r="CR8" s="312" t="str">
        <f t="shared" si="26"/>
        <v>very low</v>
      </c>
      <c r="CS8" s="313">
        <f t="shared" si="27"/>
        <v>1</v>
      </c>
      <c r="CT8" s="312" t="str">
        <f t="shared" si="28"/>
        <v>mouth</v>
      </c>
      <c r="CU8" s="313">
        <f t="shared" si="29"/>
        <v>4</v>
      </c>
      <c r="CV8" s="313">
        <f t="shared" si="30"/>
        <v>105</v>
      </c>
      <c r="CW8" s="313" t="str">
        <f t="shared" si="31"/>
        <v>intermediate complexity hydrodynamics</v>
      </c>
      <c r="CX8" s="313">
        <f t="shared" ref="CX8:CX39" si="89">CK8*$CA$7+CM8*$CF$7+CU8*$CG$11+CQ8*$CA$11+CS8*$CD$11+CO8*$BX$11</f>
        <v>78</v>
      </c>
      <c r="CY8" s="313" t="str">
        <f t="shared" si="32"/>
        <v>intermediate complexity water quality</v>
      </c>
      <c r="CZ8" s="273" t="s">
        <v>402</v>
      </c>
      <c r="DA8" s="272" t="str">
        <f t="shared" si="72"/>
        <v>-</v>
      </c>
      <c r="DB8" s="271" t="str">
        <f t="shared" si="33"/>
        <v>intermediate complexity hydrodynamics; intermediate complexity water quality</v>
      </c>
      <c r="DC8" s="274"/>
      <c r="DD8" s="475" t="str">
        <f t="shared" si="73"/>
        <v>Quanaduck Cove</v>
      </c>
      <c r="DE8" s="475">
        <f t="shared" si="74"/>
        <v>4</v>
      </c>
      <c r="DF8" s="464">
        <f t="shared" si="34"/>
        <v>2.06</v>
      </c>
      <c r="DG8" s="479">
        <f t="shared" si="35"/>
        <v>0.19</v>
      </c>
      <c r="DH8" s="464">
        <f t="shared" si="36"/>
        <v>1.0900000000000001</v>
      </c>
      <c r="DI8" s="464">
        <f t="shared" si="37"/>
        <v>172.5</v>
      </c>
      <c r="DJ8" s="464">
        <f t="shared" si="38"/>
        <v>6</v>
      </c>
      <c r="DK8" s="464">
        <f t="shared" si="39"/>
        <v>0.5</v>
      </c>
      <c r="DL8" s="464">
        <f t="shared" si="40"/>
        <v>0.5</v>
      </c>
      <c r="DM8" s="464">
        <f t="shared" si="41"/>
        <v>1.2</v>
      </c>
      <c r="DN8" s="464">
        <f t="shared" si="42"/>
        <v>0</v>
      </c>
      <c r="DO8" s="464">
        <f t="shared" si="43"/>
        <v>18797</v>
      </c>
      <c r="DP8" s="464">
        <f t="shared" si="44"/>
        <v>166840</v>
      </c>
      <c r="DQ8" s="464">
        <f t="shared" si="45"/>
        <v>0.89</v>
      </c>
      <c r="DR8" s="464">
        <f t="shared" si="46"/>
        <v>3</v>
      </c>
      <c r="DS8" s="464">
        <f t="shared" si="47"/>
        <v>3677</v>
      </c>
      <c r="DT8" s="464">
        <f t="shared" si="48"/>
        <v>5.0999999999999996</v>
      </c>
      <c r="DU8" s="464">
        <f t="shared" si="49"/>
        <v>0.1</v>
      </c>
      <c r="DV8" s="464">
        <f t="shared" si="50"/>
        <v>32.64</v>
      </c>
      <c r="DW8" s="464">
        <f t="shared" si="51"/>
        <v>0</v>
      </c>
      <c r="DX8" s="464">
        <f t="shared" si="52"/>
        <v>100</v>
      </c>
      <c r="DY8" s="464">
        <f t="shared" si="53"/>
        <v>100</v>
      </c>
      <c r="DZ8" s="464">
        <f t="shared" si="54"/>
        <v>100</v>
      </c>
      <c r="EA8" s="464">
        <f t="shared" si="55"/>
        <v>1030</v>
      </c>
      <c r="EB8" s="464">
        <f t="shared" si="56"/>
        <v>55</v>
      </c>
      <c r="EC8" s="464">
        <f t="shared" si="57"/>
        <v>0</v>
      </c>
      <c r="ED8" s="464">
        <f t="shared" si="58"/>
        <v>1.102E-2</v>
      </c>
      <c r="EE8" s="464">
        <f t="shared" si="59"/>
        <v>2.5299999999999998</v>
      </c>
      <c r="EF8" s="275">
        <f t="shared" si="75"/>
        <v>1.44</v>
      </c>
      <c r="EG8" s="275" t="str">
        <f t="shared" si="76"/>
        <v>unlikely, too shallow</v>
      </c>
      <c r="EH8" s="275">
        <f t="shared" si="77"/>
        <v>4.01</v>
      </c>
      <c r="EI8" s="275">
        <f t="shared" si="78"/>
        <v>1.65</v>
      </c>
      <c r="EJ8" s="275">
        <f t="shared" si="79"/>
        <v>1.32</v>
      </c>
    </row>
    <row r="9" spans="1:140" s="275" customFormat="1" ht="44" customHeight="1" thickBot="1" x14ac:dyDescent="0.4">
      <c r="A9" s="389">
        <v>5</v>
      </c>
      <c r="B9" s="281" t="s">
        <v>409</v>
      </c>
      <c r="C9" s="257">
        <v>5</v>
      </c>
      <c r="D9" s="256" t="s">
        <v>399</v>
      </c>
      <c r="E9" s="258"/>
      <c r="F9" s="259">
        <v>1797631</v>
      </c>
      <c r="G9" s="259">
        <v>2881.7550000000001</v>
      </c>
      <c r="H9" s="260">
        <f t="shared" si="60"/>
        <v>623.79730407338582</v>
      </c>
      <c r="I9" s="260">
        <f t="shared" si="61"/>
        <v>4.6196977466593534</v>
      </c>
      <c r="J9" s="261">
        <v>1</v>
      </c>
      <c r="K9" s="262">
        <v>2.58958333333333</v>
      </c>
      <c r="L9" s="262">
        <v>2.65</v>
      </c>
      <c r="M9" s="262">
        <v>5.64</v>
      </c>
      <c r="N9" s="260">
        <f t="shared" si="5"/>
        <v>3858764.7642275803</v>
      </c>
      <c r="O9" s="258"/>
      <c r="P9" s="260">
        <f t="shared" si="62"/>
        <v>10971.57616381996</v>
      </c>
      <c r="Q9" s="453">
        <f>P8+P9</f>
        <v>14648.556787063513</v>
      </c>
      <c r="R9" s="263">
        <f t="shared" si="63"/>
        <v>0.88599997758799998</v>
      </c>
      <c r="S9" s="262">
        <v>0.44299998879399999</v>
      </c>
      <c r="T9" s="260">
        <f t="shared" si="6"/>
        <v>1592701.025711494</v>
      </c>
      <c r="U9" s="259">
        <v>1</v>
      </c>
      <c r="V9" s="264">
        <f t="shared" si="7"/>
        <v>2.4561044467513438</v>
      </c>
      <c r="W9" s="264">
        <f t="shared" si="8"/>
        <v>7.7057525198565626</v>
      </c>
      <c r="X9" s="260">
        <f t="shared" si="64"/>
        <v>3185402.0514229881</v>
      </c>
      <c r="Y9" s="263">
        <f t="shared" si="9"/>
        <v>2.4227803598630739</v>
      </c>
      <c r="Z9" s="264">
        <f t="shared" si="10"/>
        <v>263.42286276524845</v>
      </c>
      <c r="AA9" s="264">
        <f t="shared" si="11"/>
        <v>4.5986523994733051E-3</v>
      </c>
      <c r="AB9" s="266">
        <f t="shared" si="12"/>
        <v>4.6656210437609922E-3</v>
      </c>
      <c r="AC9" s="266">
        <f t="shared" si="65"/>
        <v>3.3818755572069747</v>
      </c>
      <c r="AD9" s="266">
        <f t="shared" si="13"/>
        <v>0.4127489295218309</v>
      </c>
      <c r="AE9" s="266">
        <f t="shared" si="14"/>
        <v>4.758327830010573E-3</v>
      </c>
      <c r="AF9" s="258"/>
      <c r="AG9" s="267">
        <v>-71.912865999999994</v>
      </c>
      <c r="AH9" s="277">
        <v>1.7652857202671175</v>
      </c>
      <c r="AI9" s="277">
        <f t="shared" si="66"/>
        <v>0.67977664251338288</v>
      </c>
      <c r="AJ9" s="277">
        <f t="shared" si="67"/>
        <v>6.7745343072705362</v>
      </c>
      <c r="AK9" s="277">
        <f t="shared" si="68"/>
        <v>2.7907990157936799</v>
      </c>
      <c r="AL9" s="277">
        <f t="shared" si="69"/>
        <v>2.227390054226476</v>
      </c>
      <c r="AM9" s="278">
        <v>0.44299998879399999</v>
      </c>
      <c r="AN9" s="261">
        <v>1</v>
      </c>
      <c r="AO9" s="261">
        <v>0.55208333333333304</v>
      </c>
      <c r="AP9" s="261">
        <v>0.44791666666666702</v>
      </c>
      <c r="AQ9" s="481">
        <f t="shared" si="70"/>
        <v>1.4429999887939999</v>
      </c>
      <c r="AR9" s="268" t="str">
        <f t="shared" si="84"/>
        <v>mapped as present but only partially field verified</v>
      </c>
      <c r="AS9" s="258"/>
      <c r="AT9" s="259">
        <v>6217678</v>
      </c>
      <c r="AU9" s="259">
        <v>2069.5135</v>
      </c>
      <c r="AV9" s="259">
        <v>1158.9275600000001</v>
      </c>
      <c r="AW9" s="259">
        <v>893.9958445432261</v>
      </c>
      <c r="AX9" s="259">
        <v>1393.0921614548865</v>
      </c>
      <c r="AY9" s="259">
        <v>565.4111964511045</v>
      </c>
      <c r="AZ9" s="259">
        <v>1438.1048000000001</v>
      </c>
      <c r="BA9" s="269"/>
      <c r="BB9" s="259">
        <v>6360.1175024492168</v>
      </c>
      <c r="BC9" s="260">
        <f t="shared" si="15"/>
        <v>5449.5315624492168</v>
      </c>
      <c r="BD9" s="260">
        <f t="shared" si="16"/>
        <v>30.315073351812561</v>
      </c>
      <c r="BE9" s="260">
        <f t="shared" si="85"/>
        <v>5449.5315624492168</v>
      </c>
      <c r="BF9" s="260">
        <f t="shared" si="86"/>
        <v>30.315073351812561</v>
      </c>
      <c r="BG9" s="270">
        <f t="shared" si="81"/>
        <v>21.266553771075618</v>
      </c>
      <c r="BH9" s="258"/>
      <c r="BI9" s="262">
        <f t="shared" si="71"/>
        <v>32.119125000000004</v>
      </c>
      <c r="BJ9" s="259">
        <v>128476.5</v>
      </c>
      <c r="BK9" s="262">
        <f>24.3+38.93</f>
        <v>63.230000000000004</v>
      </c>
      <c r="BL9" s="259">
        <f t="shared" si="82"/>
        <v>255882.95780000003</v>
      </c>
      <c r="BM9" s="259" t="s">
        <v>550</v>
      </c>
      <c r="BN9" s="258"/>
      <c r="BO9" s="260">
        <f t="shared" si="87"/>
        <v>179.76310000000001</v>
      </c>
      <c r="BP9" s="260">
        <f t="shared" si="88"/>
        <v>4.6196977466593534</v>
      </c>
      <c r="BQ9" s="263">
        <f t="shared" si="1"/>
        <v>5.64</v>
      </c>
      <c r="BR9" s="260">
        <f t="shared" si="17"/>
        <v>1</v>
      </c>
      <c r="BS9" s="265">
        <f t="shared" si="2"/>
        <v>4.5986523994733051E-3</v>
      </c>
      <c r="BT9" s="263">
        <f t="shared" si="3"/>
        <v>3.3818755572069747</v>
      </c>
      <c r="BU9" s="260">
        <f t="shared" si="4"/>
        <v>21.266553771075618</v>
      </c>
      <c r="BV9" s="258"/>
      <c r="BW9" s="138"/>
      <c r="BX9" s="138"/>
      <c r="BY9" s="138"/>
      <c r="BZ9" s="138"/>
      <c r="CA9" s="138"/>
      <c r="CB9" s="138"/>
      <c r="CC9" s="318"/>
      <c r="CD9" s="322"/>
      <c r="CE9" s="225"/>
      <c r="CF9" s="138"/>
      <c r="CG9" s="138"/>
      <c r="CI9" s="258"/>
      <c r="CJ9" s="312" t="str">
        <f t="shared" si="18"/>
        <v>intermediate complexity hydrodynamics</v>
      </c>
      <c r="CK9" s="313">
        <f t="shared" si="19"/>
        <v>2</v>
      </c>
      <c r="CL9" s="312" t="str">
        <f t="shared" si="20"/>
        <v>intermediate or complex water quality</v>
      </c>
      <c r="CM9" s="313">
        <f t="shared" si="21"/>
        <v>3</v>
      </c>
      <c r="CN9" s="312" t="str">
        <f t="shared" si="22"/>
        <v>moderate</v>
      </c>
      <c r="CO9" s="313">
        <f t="shared" si="23"/>
        <v>2</v>
      </c>
      <c r="CP9" s="312" t="str">
        <f t="shared" si="24"/>
        <v>mid-size</v>
      </c>
      <c r="CQ9" s="313">
        <f t="shared" si="25"/>
        <v>4</v>
      </c>
      <c r="CR9" s="312" t="str">
        <f t="shared" si="26"/>
        <v>very low</v>
      </c>
      <c r="CS9" s="313">
        <f t="shared" si="27"/>
        <v>1</v>
      </c>
      <c r="CT9" s="312" t="str">
        <f t="shared" si="28"/>
        <v>head</v>
      </c>
      <c r="CU9" s="313">
        <f t="shared" si="29"/>
        <v>2</v>
      </c>
      <c r="CV9" s="313">
        <f t="shared" si="30"/>
        <v>133</v>
      </c>
      <c r="CW9" s="313" t="str">
        <f t="shared" si="31"/>
        <v>intermediate complexity hydrodynamics</v>
      </c>
      <c r="CX9" s="313">
        <f t="shared" si="89"/>
        <v>104</v>
      </c>
      <c r="CY9" s="313" t="str">
        <f t="shared" si="32"/>
        <v>intermediate complexity water quality</v>
      </c>
      <c r="CZ9" s="273" t="s">
        <v>402</v>
      </c>
      <c r="DA9" s="272" t="str">
        <f t="shared" si="72"/>
        <v>WASP</v>
      </c>
      <c r="DB9" s="271" t="str">
        <f t="shared" si="33"/>
        <v>intermediate complexity hydrodynamics; intermediate complexity water quality (WASP)</v>
      </c>
      <c r="DC9" s="274"/>
      <c r="DD9" s="475" t="str">
        <f t="shared" si="73"/>
        <v>Stonington Harbor</v>
      </c>
      <c r="DE9" s="475">
        <f t="shared" si="74"/>
        <v>5</v>
      </c>
      <c r="DF9" s="464">
        <f t="shared" si="34"/>
        <v>6.22</v>
      </c>
      <c r="DG9" s="479">
        <f t="shared" si="35"/>
        <v>1.8</v>
      </c>
      <c r="DH9" s="464">
        <f t="shared" si="36"/>
        <v>2.88</v>
      </c>
      <c r="DI9" s="464">
        <f t="shared" si="37"/>
        <v>623.79999999999995</v>
      </c>
      <c r="DJ9" s="464">
        <f t="shared" si="38"/>
        <v>5</v>
      </c>
      <c r="DK9" s="464">
        <f t="shared" si="39"/>
        <v>2.6</v>
      </c>
      <c r="DL9" s="464">
        <f t="shared" si="40"/>
        <v>2.7</v>
      </c>
      <c r="DM9" s="464">
        <f t="shared" si="41"/>
        <v>5.6</v>
      </c>
      <c r="DN9" s="464">
        <f t="shared" si="42"/>
        <v>100</v>
      </c>
      <c r="DO9" s="464">
        <f t="shared" si="43"/>
        <v>3858765</v>
      </c>
      <c r="DP9" s="464">
        <f t="shared" si="44"/>
        <v>1592701</v>
      </c>
      <c r="DQ9" s="464">
        <f t="shared" si="45"/>
        <v>0.89</v>
      </c>
      <c r="DR9" s="464">
        <f t="shared" si="46"/>
        <v>1</v>
      </c>
      <c r="DS9" s="464">
        <f t="shared" si="47"/>
        <v>14649</v>
      </c>
      <c r="DT9" s="464">
        <f t="shared" si="48"/>
        <v>263.39999999999998</v>
      </c>
      <c r="DU9" s="464">
        <f t="shared" si="49"/>
        <v>2.4</v>
      </c>
      <c r="DV9" s="464">
        <f t="shared" si="50"/>
        <v>32.119999999999997</v>
      </c>
      <c r="DW9" s="464">
        <f t="shared" si="51"/>
        <v>63.23</v>
      </c>
      <c r="DX9" s="464">
        <f t="shared" si="52"/>
        <v>100</v>
      </c>
      <c r="DY9" s="464">
        <f t="shared" si="53"/>
        <v>55</v>
      </c>
      <c r="DZ9" s="464">
        <f t="shared" si="54"/>
        <v>45</v>
      </c>
      <c r="EA9" s="464">
        <f t="shared" si="55"/>
        <v>5450</v>
      </c>
      <c r="EB9" s="464">
        <f t="shared" si="56"/>
        <v>30</v>
      </c>
      <c r="EC9" s="464">
        <f t="shared" si="57"/>
        <v>21</v>
      </c>
      <c r="ED9" s="464">
        <f t="shared" si="58"/>
        <v>4.5999999999999999E-3</v>
      </c>
      <c r="EE9" s="464">
        <f t="shared" si="59"/>
        <v>3.38</v>
      </c>
      <c r="EF9" s="275">
        <f t="shared" si="75"/>
        <v>1.44</v>
      </c>
      <c r="EG9" s="275" t="str">
        <f t="shared" si="76"/>
        <v>mapped as present but only partially field verified</v>
      </c>
      <c r="EH9" s="275">
        <f t="shared" si="77"/>
        <v>6.77</v>
      </c>
      <c r="EI9" s="275">
        <f t="shared" si="78"/>
        <v>2.79</v>
      </c>
      <c r="EJ9" s="275">
        <f t="shared" si="79"/>
        <v>2.23</v>
      </c>
    </row>
    <row r="10" spans="1:140" ht="44" customHeight="1" thickBot="1" x14ac:dyDescent="0.4">
      <c r="A10" s="388">
        <v>5.5</v>
      </c>
      <c r="B10" s="215" t="s">
        <v>494</v>
      </c>
      <c r="C10" s="210" t="s">
        <v>495</v>
      </c>
      <c r="D10" s="196"/>
      <c r="E10" s="221"/>
      <c r="F10" s="197">
        <f>F8+F9</f>
        <v>1985599</v>
      </c>
      <c r="G10" s="197">
        <f>G8+G9</f>
        <v>3971.299</v>
      </c>
      <c r="H10" s="241">
        <f t="shared" si="60"/>
        <v>499.98728375778302</v>
      </c>
      <c r="I10" s="241">
        <f>G10/H10</f>
        <v>7.9428000051374923</v>
      </c>
      <c r="J10" s="452">
        <f>SUM(J8*($F8/$F10),J9*($F9/$F10))</f>
        <v>0.90533436005960921</v>
      </c>
      <c r="K10" s="242">
        <f>SUM(K8*($F8/$F10),K9*($F9/$F10))</f>
        <v>2.3917720935009172</v>
      </c>
      <c r="L10" s="242">
        <f>SUM(L8*($F8/$F10),L9*($F9/$F10))</f>
        <v>2.4417355921311401</v>
      </c>
      <c r="M10" s="242">
        <f>MAX(M7:M9)</f>
        <v>5.64</v>
      </c>
      <c r="N10" s="241">
        <f>N9+N8</f>
        <v>3877561.5642275801</v>
      </c>
      <c r="O10" s="221"/>
      <c r="P10" s="241"/>
      <c r="Q10" s="457">
        <f>Q9</f>
        <v>14648.556787063513</v>
      </c>
      <c r="R10" s="242">
        <f>S10*2</f>
        <v>0.88599997758799998</v>
      </c>
      <c r="S10" s="213">
        <f>S9</f>
        <v>0.44299998879399999</v>
      </c>
      <c r="T10" s="241">
        <f t="shared" si="6"/>
        <v>1759240.6694987551</v>
      </c>
      <c r="U10" s="197">
        <v>4</v>
      </c>
      <c r="V10" s="243">
        <f t="shared" si="7"/>
        <v>3.1319244848052037</v>
      </c>
      <c r="W10" s="243">
        <f t="shared" si="8"/>
        <v>9.8647620368390267</v>
      </c>
      <c r="X10" s="241">
        <f t="shared" si="64"/>
        <v>3518481.3389975103</v>
      </c>
      <c r="Y10" s="242">
        <f t="shared" si="9"/>
        <v>2.2041109164059853</v>
      </c>
      <c r="Z10" s="243">
        <f t="shared" si="10"/>
        <v>264.7060471958539</v>
      </c>
      <c r="AA10" s="243">
        <f t="shared" si="11"/>
        <v>4.1633180272137513E-3</v>
      </c>
      <c r="AB10" s="245">
        <f t="shared" si="12"/>
        <v>5.0243177478637062E-3</v>
      </c>
      <c r="AC10" s="245">
        <f t="shared" si="65"/>
        <v>4.0226871252063736</v>
      </c>
      <c r="AD10" s="245">
        <f t="shared" si="13"/>
        <v>0.45369767580961678</v>
      </c>
      <c r="AE10" s="245">
        <f t="shared" si="14"/>
        <v>4.3078776809364512E-3</v>
      </c>
      <c r="AF10" s="221"/>
      <c r="AG10" s="211">
        <f>AG9</f>
        <v>-71.912865999999994</v>
      </c>
      <c r="AH10" s="242">
        <f>AH9</f>
        <v>1.7652857202671175</v>
      </c>
      <c r="AI10" s="242">
        <f>1.2/AH10</f>
        <v>0.67977664251338288</v>
      </c>
      <c r="AJ10" s="242">
        <f t="shared" si="67"/>
        <v>6.7745343072705362</v>
      </c>
      <c r="AK10" s="242">
        <f t="shared" si="68"/>
        <v>2.7907990157936799</v>
      </c>
      <c r="AL10" s="242">
        <f t="shared" si="69"/>
        <v>2.227390054226476</v>
      </c>
      <c r="AM10" s="242">
        <f>SUM(AM8*($F8/$F10),AM9*($F9/$F10))</f>
        <v>0.44307572258800904</v>
      </c>
      <c r="AN10" s="452">
        <f>SUM(AN8*($F8/$F10),AN9*($F9/$F10))</f>
        <v>1.0000010072527228</v>
      </c>
      <c r="AO10" s="452">
        <f>SUM(AO8*($F8/$F10),AO9*($F9/$F10))</f>
        <v>0.59448665847602256</v>
      </c>
      <c r="AP10" s="452">
        <f>SUM(AP8*($F8/$F10),AP9*($F9/$F10))</f>
        <v>0.5001809959698138</v>
      </c>
      <c r="AQ10" s="483">
        <f t="shared" si="70"/>
        <v>1.4429999887939999</v>
      </c>
      <c r="AR10" s="247" t="str">
        <f t="shared" si="84"/>
        <v>mapped as present but only partially field verified</v>
      </c>
      <c r="AS10" s="221"/>
      <c r="AT10" s="241">
        <f t="shared" ref="AT10:AZ10" si="90">AT9+AT8</f>
        <v>8278568</v>
      </c>
      <c r="AU10" s="241">
        <f t="shared" si="90"/>
        <v>2069.5135</v>
      </c>
      <c r="AV10" s="241">
        <f t="shared" si="90"/>
        <v>1158.9275600000001</v>
      </c>
      <c r="AW10" s="241">
        <f t="shared" si="90"/>
        <v>1139.9848276600342</v>
      </c>
      <c r="AX10" s="241">
        <f t="shared" si="90"/>
        <v>1837.5959978624082</v>
      </c>
      <c r="AY10" s="241">
        <f t="shared" si="90"/>
        <v>754.33445740542948</v>
      </c>
      <c r="AZ10" s="241">
        <f t="shared" si="90"/>
        <v>1588.4792</v>
      </c>
      <c r="BA10" s="214"/>
      <c r="BB10" s="241">
        <f>BB9+BB8</f>
        <v>7389.9079829278717</v>
      </c>
      <c r="BC10" s="241">
        <f t="shared" si="15"/>
        <v>6479.3220429278717</v>
      </c>
      <c r="BD10" s="241">
        <f t="shared" si="16"/>
        <v>32.631573862234376</v>
      </c>
      <c r="BE10" s="457">
        <f t="shared" si="85"/>
        <v>6479.3220429278717</v>
      </c>
      <c r="BF10" s="457">
        <f t="shared" si="86"/>
        <v>32.631573862234376</v>
      </c>
      <c r="BG10" s="248">
        <f t="shared" si="81"/>
        <v>17.886555913129218</v>
      </c>
      <c r="BH10" s="221"/>
      <c r="BI10" s="242">
        <f t="shared" si="71"/>
        <v>64.763175000000004</v>
      </c>
      <c r="BJ10" s="241">
        <f>BJ9+BJ8</f>
        <v>259052.7</v>
      </c>
      <c r="BK10" s="242">
        <f>BK9+BK8</f>
        <v>63.230000000000004</v>
      </c>
      <c r="BL10" s="241">
        <f>BL9+BL8</f>
        <v>255882.95780000003</v>
      </c>
      <c r="BM10" s="197" t="s">
        <v>550</v>
      </c>
      <c r="BN10" s="221"/>
      <c r="BO10" s="241">
        <f t="shared" si="87"/>
        <v>198.5599</v>
      </c>
      <c r="BP10" s="241">
        <f t="shared" si="88"/>
        <v>7.9428000051374923</v>
      </c>
      <c r="BQ10" s="242">
        <f t="shared" si="1"/>
        <v>5.64</v>
      </c>
      <c r="BR10" s="241">
        <f t="shared" si="17"/>
        <v>4</v>
      </c>
      <c r="BS10" s="244">
        <f t="shared" si="2"/>
        <v>4.1633180272137513E-3</v>
      </c>
      <c r="BT10" s="242">
        <f t="shared" si="3"/>
        <v>4.0226871252063736</v>
      </c>
      <c r="BU10" s="241">
        <f t="shared" si="4"/>
        <v>17.886555913129218</v>
      </c>
      <c r="BV10" s="302"/>
      <c r="BW10" s="342" t="s">
        <v>608</v>
      </c>
      <c r="BX10" s="344">
        <v>10</v>
      </c>
      <c r="BZ10" s="342" t="s">
        <v>608</v>
      </c>
      <c r="CA10" s="344">
        <v>10</v>
      </c>
      <c r="CC10" s="342" t="s">
        <v>608</v>
      </c>
      <c r="CD10" s="344">
        <v>1</v>
      </c>
      <c r="CF10" s="342" t="s">
        <v>608</v>
      </c>
      <c r="CG10" s="344">
        <v>1</v>
      </c>
      <c r="CI10" s="221"/>
      <c r="CJ10" s="303" t="str">
        <f t="shared" si="18"/>
        <v>intermediate complexity hydrodynamics</v>
      </c>
      <c r="CK10" s="304">
        <f t="shared" si="19"/>
        <v>2</v>
      </c>
      <c r="CL10" s="303" t="str">
        <f t="shared" si="20"/>
        <v>intermediate or complex water quality</v>
      </c>
      <c r="CM10" s="304">
        <f t="shared" si="21"/>
        <v>3</v>
      </c>
      <c r="CN10" s="303" t="str">
        <f t="shared" si="22"/>
        <v>moderate</v>
      </c>
      <c r="CO10" s="304">
        <f t="shared" si="23"/>
        <v>2</v>
      </c>
      <c r="CP10" s="303" t="str">
        <f t="shared" si="24"/>
        <v>mid-size</v>
      </c>
      <c r="CQ10" s="304">
        <f t="shared" si="25"/>
        <v>4</v>
      </c>
      <c r="CR10" s="303" t="str">
        <f t="shared" si="26"/>
        <v>very low</v>
      </c>
      <c r="CS10" s="304">
        <f t="shared" si="27"/>
        <v>1</v>
      </c>
      <c r="CT10" s="303" t="str">
        <f t="shared" si="28"/>
        <v>multiple</v>
      </c>
      <c r="CU10" s="304">
        <f t="shared" si="29"/>
        <v>5</v>
      </c>
      <c r="CV10" s="304">
        <f t="shared" si="30"/>
        <v>136</v>
      </c>
      <c r="CW10" s="304" t="str">
        <f t="shared" si="31"/>
        <v>intermediate complexity hydrodynamics</v>
      </c>
      <c r="CX10" s="304">
        <f t="shared" si="89"/>
        <v>107</v>
      </c>
      <c r="CY10" s="304" t="str">
        <f t="shared" si="32"/>
        <v>intermediate complexity water quality</v>
      </c>
      <c r="CZ10" s="216" t="s">
        <v>402</v>
      </c>
      <c r="DA10" s="252" t="str">
        <f t="shared" si="72"/>
        <v>WASP</v>
      </c>
      <c r="DB10" s="251" t="str">
        <f t="shared" si="33"/>
        <v>intermediate complexity hydrodynamics; intermediate complexity water quality (WASP)</v>
      </c>
      <c r="DC10" s="227"/>
      <c r="DD10" s="475" t="str">
        <f t="shared" si="73"/>
        <v>Quanaduck C. + Stonington H.</v>
      </c>
      <c r="DE10" s="475" t="str">
        <f t="shared" si="74"/>
        <v xml:space="preserve"> 4-5</v>
      </c>
      <c r="DF10" s="477">
        <f t="shared" si="34"/>
        <v>8.2799999999999994</v>
      </c>
      <c r="DG10" s="478">
        <f t="shared" si="35"/>
        <v>1.99</v>
      </c>
      <c r="DH10" s="477">
        <f t="shared" si="36"/>
        <v>3.97</v>
      </c>
      <c r="DI10" s="477">
        <f t="shared" si="37"/>
        <v>500</v>
      </c>
      <c r="DJ10" s="477">
        <f t="shared" si="38"/>
        <v>8</v>
      </c>
      <c r="DK10" s="477">
        <f t="shared" si="39"/>
        <v>2.4</v>
      </c>
      <c r="DL10" s="477">
        <f t="shared" si="40"/>
        <v>2.4</v>
      </c>
      <c r="DM10" s="477">
        <f t="shared" si="41"/>
        <v>5.6</v>
      </c>
      <c r="DN10" s="477">
        <f t="shared" si="42"/>
        <v>91</v>
      </c>
      <c r="DO10" s="477">
        <f t="shared" si="43"/>
        <v>3877562</v>
      </c>
      <c r="DP10" s="477">
        <f t="shared" si="44"/>
        <v>1759241</v>
      </c>
      <c r="DQ10" s="467">
        <f t="shared" si="45"/>
        <v>0.89</v>
      </c>
      <c r="DR10" s="467">
        <f t="shared" si="46"/>
        <v>4</v>
      </c>
      <c r="DS10" s="467">
        <f t="shared" si="47"/>
        <v>14649</v>
      </c>
      <c r="DT10" s="467">
        <f t="shared" si="48"/>
        <v>264.7</v>
      </c>
      <c r="DU10" s="467">
        <f t="shared" si="49"/>
        <v>2.2000000000000002</v>
      </c>
      <c r="DV10" s="467">
        <f t="shared" si="50"/>
        <v>64.760000000000005</v>
      </c>
      <c r="DW10" s="467">
        <f t="shared" si="51"/>
        <v>63.23</v>
      </c>
      <c r="DX10" s="467">
        <f t="shared" si="52"/>
        <v>100</v>
      </c>
      <c r="DY10" s="467">
        <f t="shared" si="53"/>
        <v>59</v>
      </c>
      <c r="DZ10" s="467">
        <f t="shared" si="54"/>
        <v>50</v>
      </c>
      <c r="EA10" s="467">
        <f t="shared" si="55"/>
        <v>6479</v>
      </c>
      <c r="EB10" s="467">
        <f t="shared" si="56"/>
        <v>33</v>
      </c>
      <c r="EC10" s="467">
        <f t="shared" si="57"/>
        <v>18</v>
      </c>
      <c r="ED10" s="467">
        <f t="shared" si="58"/>
        <v>4.1599999999999996E-3</v>
      </c>
      <c r="EE10" s="467">
        <f t="shared" si="59"/>
        <v>4.0199999999999996</v>
      </c>
      <c r="EF10" s="138">
        <f t="shared" si="75"/>
        <v>1.44</v>
      </c>
      <c r="EG10" s="138" t="str">
        <f t="shared" si="76"/>
        <v>mapped as present but only partially field verified</v>
      </c>
      <c r="EH10" s="138">
        <f t="shared" si="77"/>
        <v>6.77</v>
      </c>
      <c r="EI10" s="138">
        <f t="shared" si="78"/>
        <v>2.79</v>
      </c>
      <c r="EJ10" s="138">
        <f t="shared" si="79"/>
        <v>2.23</v>
      </c>
    </row>
    <row r="11" spans="1:140" ht="44" customHeight="1" thickBot="1" x14ac:dyDescent="0.4">
      <c r="A11" s="388">
        <v>6</v>
      </c>
      <c r="B11" s="215" t="s">
        <v>410</v>
      </c>
      <c r="C11" s="210">
        <v>6</v>
      </c>
      <c r="D11" s="196"/>
      <c r="E11" s="221"/>
      <c r="F11" s="197">
        <v>293721</v>
      </c>
      <c r="G11" s="197">
        <v>2034.827</v>
      </c>
      <c r="H11" s="241">
        <f t="shared" si="60"/>
        <v>144.34691499572199</v>
      </c>
      <c r="I11" s="241">
        <f t="shared" si="61"/>
        <v>14.096782048028572</v>
      </c>
      <c r="J11" s="212">
        <v>1</v>
      </c>
      <c r="K11" s="213">
        <v>1.28125</v>
      </c>
      <c r="L11" s="213">
        <v>0.95</v>
      </c>
      <c r="M11" s="213">
        <v>2.84</v>
      </c>
      <c r="N11" s="241">
        <f t="shared" ref="N11:N22" si="91">F11*MAX(0.1,(K11-S11))</f>
        <v>245859.16037478912</v>
      </c>
      <c r="O11" s="221"/>
      <c r="P11" s="241">
        <f t="shared" si="62"/>
        <v>34126.55611021872</v>
      </c>
      <c r="Q11" s="241">
        <f t="shared" si="80"/>
        <v>34126.55611021872</v>
      </c>
      <c r="R11" s="242">
        <f t="shared" si="63"/>
        <v>0.88840001821600001</v>
      </c>
      <c r="S11" s="213">
        <v>0.444200009108</v>
      </c>
      <c r="T11" s="241">
        <f t="shared" si="6"/>
        <v>260941.74175042173</v>
      </c>
      <c r="U11" s="197">
        <v>2</v>
      </c>
      <c r="V11" s="243">
        <f t="shared" si="7"/>
        <v>1.709463810130784</v>
      </c>
      <c r="W11" s="243">
        <f t="shared" si="8"/>
        <v>5.3616492981030959</v>
      </c>
      <c r="X11" s="241">
        <f t="shared" si="64"/>
        <v>521883.48350084346</v>
      </c>
      <c r="Y11" s="242">
        <f t="shared" si="9"/>
        <v>0.94219943013157947</v>
      </c>
      <c r="Z11" s="243">
        <f t="shared" si="10"/>
        <v>7.204335520429793</v>
      </c>
      <c r="AA11" s="243">
        <f t="shared" si="11"/>
        <v>6.5391140339017009E-2</v>
      </c>
      <c r="AB11" s="245">
        <f t="shared" si="12"/>
        <v>2.7845005719669004E-2</v>
      </c>
      <c r="AC11" s="245">
        <f t="shared" si="65"/>
        <v>1.4194076636533126</v>
      </c>
      <c r="AD11" s="245">
        <f t="shared" si="13"/>
        <v>1.0613464283886784</v>
      </c>
      <c r="AE11" s="245">
        <f t="shared" si="14"/>
        <v>6.7661666045232868E-2</v>
      </c>
      <c r="AF11" s="221"/>
      <c r="AG11" s="211">
        <v>-71.937550999999999</v>
      </c>
      <c r="AH11" s="242">
        <f>(AG11^2*-0.304-43.623*AG11-1561.6)*0.4012-0.2907</f>
        <v>1.0446416966447298</v>
      </c>
      <c r="AI11" s="242">
        <f t="shared" si="66"/>
        <v>1.1487192248349489</v>
      </c>
      <c r="AJ11" s="242">
        <f t="shared" si="67"/>
        <v>4.0089606636902717</v>
      </c>
      <c r="AK11" s="242">
        <f t="shared" si="68"/>
        <v>1.6515088664581761</v>
      </c>
      <c r="AL11" s="242">
        <f t="shared" si="69"/>
        <v>1.3181008029593388</v>
      </c>
      <c r="AM11" s="213">
        <v>0.444200009108</v>
      </c>
      <c r="AN11" s="212">
        <v>1</v>
      </c>
      <c r="AO11" s="212">
        <v>0.875</v>
      </c>
      <c r="AP11" s="212">
        <v>0.625</v>
      </c>
      <c r="AQ11" s="484">
        <f t="shared" si="70"/>
        <v>1.4442000091080001</v>
      </c>
      <c r="AR11" s="247" t="str">
        <f t="shared" si="84"/>
        <v>mapped as present but not field verified</v>
      </c>
      <c r="AS11" s="221"/>
      <c r="AT11" s="197">
        <v>19562740</v>
      </c>
      <c r="AU11" s="197">
        <v>0</v>
      </c>
      <c r="AV11" s="197">
        <v>0</v>
      </c>
      <c r="AW11" s="197">
        <v>1525.3464785529056</v>
      </c>
      <c r="AX11" s="197">
        <v>2818.6383396728579</v>
      </c>
      <c r="AY11" s="197">
        <v>1072.0058793788837</v>
      </c>
      <c r="AZ11" s="197">
        <v>234.9768</v>
      </c>
      <c r="BA11" s="214"/>
      <c r="BB11" s="197">
        <v>5650.9674976046472</v>
      </c>
      <c r="BC11" s="241">
        <f t="shared" si="15"/>
        <v>5650.9674976046472</v>
      </c>
      <c r="BD11" s="241">
        <f t="shared" si="16"/>
        <v>192.3923552488466</v>
      </c>
      <c r="BE11" s="241">
        <f t="shared" si="85"/>
        <v>5650.9674976046472</v>
      </c>
      <c r="BF11" s="241">
        <f t="shared" si="86"/>
        <v>192.3923552488466</v>
      </c>
      <c r="BG11" s="248">
        <f t="shared" si="81"/>
        <v>0</v>
      </c>
      <c r="BH11" s="221"/>
      <c r="BI11" s="213">
        <f t="shared" si="71"/>
        <v>36.374250000000004</v>
      </c>
      <c r="BJ11" s="197">
        <v>145497</v>
      </c>
      <c r="BK11" s="213">
        <f>7.74+0.6+3.53</f>
        <v>11.87</v>
      </c>
      <c r="BL11" s="197">
        <f t="shared" si="82"/>
        <v>48036.228199999998</v>
      </c>
      <c r="BM11" s="197" t="s">
        <v>549</v>
      </c>
      <c r="BN11" s="221"/>
      <c r="BO11" s="241">
        <f t="shared" si="87"/>
        <v>29.3721</v>
      </c>
      <c r="BP11" s="241">
        <f t="shared" si="88"/>
        <v>14.096782048028572</v>
      </c>
      <c r="BQ11" s="242">
        <f t="shared" si="1"/>
        <v>2.84</v>
      </c>
      <c r="BR11" s="241">
        <f t="shared" si="17"/>
        <v>2</v>
      </c>
      <c r="BS11" s="244">
        <f t="shared" si="2"/>
        <v>6.5391140339017009E-2</v>
      </c>
      <c r="BT11" s="242">
        <f t="shared" si="3"/>
        <v>1.4194076636533126</v>
      </c>
      <c r="BU11" s="241">
        <f t="shared" si="4"/>
        <v>0</v>
      </c>
      <c r="BV11" s="221"/>
      <c r="BW11" s="342" t="s">
        <v>609</v>
      </c>
      <c r="BX11" s="344">
        <v>20</v>
      </c>
      <c r="BZ11" s="342" t="s">
        <v>609</v>
      </c>
      <c r="CA11" s="344">
        <v>4</v>
      </c>
      <c r="CC11" s="342" t="s">
        <v>609</v>
      </c>
      <c r="CD11" s="344">
        <v>1</v>
      </c>
      <c r="CF11" s="342" t="s">
        <v>609</v>
      </c>
      <c r="CG11" s="344">
        <v>1</v>
      </c>
      <c r="CI11" s="221"/>
      <c r="CJ11" s="303" t="str">
        <f t="shared" si="18"/>
        <v>complex hydrodynamics</v>
      </c>
      <c r="CK11" s="304">
        <f t="shared" si="19"/>
        <v>3</v>
      </c>
      <c r="CL11" s="303" t="str">
        <f t="shared" si="20"/>
        <v>intermediate complexity water quality</v>
      </c>
      <c r="CM11" s="304">
        <f t="shared" si="21"/>
        <v>2</v>
      </c>
      <c r="CN11" s="303" t="str">
        <f t="shared" si="22"/>
        <v>shallow</v>
      </c>
      <c r="CO11" s="304">
        <f t="shared" si="23"/>
        <v>1</v>
      </c>
      <c r="CP11" s="303" t="str">
        <f t="shared" si="24"/>
        <v>small</v>
      </c>
      <c r="CQ11" s="304">
        <f t="shared" si="25"/>
        <v>3</v>
      </c>
      <c r="CR11" s="303" t="str">
        <f t="shared" si="26"/>
        <v>low</v>
      </c>
      <c r="CS11" s="304">
        <f t="shared" si="27"/>
        <v>2</v>
      </c>
      <c r="CT11" s="303" t="str">
        <f t="shared" si="28"/>
        <v>mid-estuary</v>
      </c>
      <c r="CU11" s="304">
        <f t="shared" si="29"/>
        <v>3</v>
      </c>
      <c r="CV11" s="304">
        <f t="shared" si="30"/>
        <v>125</v>
      </c>
      <c r="CW11" s="304" t="str">
        <f t="shared" si="31"/>
        <v>intermediate complexity hydrodynamics</v>
      </c>
      <c r="CX11" s="304">
        <f t="shared" si="89"/>
        <v>67</v>
      </c>
      <c r="CY11" s="304" t="str">
        <f t="shared" si="32"/>
        <v>intermediate complexity water quality</v>
      </c>
      <c r="CZ11" s="216" t="s">
        <v>612</v>
      </c>
      <c r="DA11" s="252" t="str">
        <f t="shared" si="72"/>
        <v>-</v>
      </c>
      <c r="DB11" s="251" t="str">
        <f t="shared" si="33"/>
        <v>intermediate complexity hydrodynamics; intermediate complexity water quality</v>
      </c>
      <c r="DC11" s="227"/>
      <c r="DD11" s="475" t="str">
        <f t="shared" si="73"/>
        <v>Quiambog Cove</v>
      </c>
      <c r="DE11" s="475">
        <f t="shared" si="74"/>
        <v>6</v>
      </c>
      <c r="DF11" s="465">
        <f t="shared" si="34"/>
        <v>19.559999999999999</v>
      </c>
      <c r="DG11" s="466">
        <f t="shared" si="35"/>
        <v>0.28999999999999998</v>
      </c>
      <c r="DH11" s="465">
        <f t="shared" si="36"/>
        <v>2.0299999999999998</v>
      </c>
      <c r="DI11" s="465">
        <f t="shared" si="37"/>
        <v>144.30000000000001</v>
      </c>
      <c r="DJ11" s="465">
        <f t="shared" si="38"/>
        <v>14</v>
      </c>
      <c r="DK11" s="465">
        <f t="shared" si="39"/>
        <v>1.3</v>
      </c>
      <c r="DL11" s="465">
        <f t="shared" si="40"/>
        <v>1</v>
      </c>
      <c r="DM11" s="465">
        <f t="shared" si="41"/>
        <v>2.8</v>
      </c>
      <c r="DN11" s="465">
        <f t="shared" si="42"/>
        <v>100</v>
      </c>
      <c r="DO11" s="465">
        <f t="shared" si="43"/>
        <v>245859</v>
      </c>
      <c r="DP11" s="465">
        <f t="shared" si="44"/>
        <v>260942</v>
      </c>
      <c r="DQ11" s="467">
        <f t="shared" si="45"/>
        <v>0.89</v>
      </c>
      <c r="DR11" s="467">
        <f t="shared" si="46"/>
        <v>2</v>
      </c>
      <c r="DS11" s="467">
        <f t="shared" si="47"/>
        <v>34127</v>
      </c>
      <c r="DT11" s="467">
        <f t="shared" si="48"/>
        <v>7.2</v>
      </c>
      <c r="DU11" s="467">
        <f t="shared" si="49"/>
        <v>0.9</v>
      </c>
      <c r="DV11" s="467">
        <f t="shared" si="50"/>
        <v>36.369999999999997</v>
      </c>
      <c r="DW11" s="467">
        <f t="shared" si="51"/>
        <v>11.87</v>
      </c>
      <c r="DX11" s="467">
        <f t="shared" si="52"/>
        <v>100</v>
      </c>
      <c r="DY11" s="467">
        <f t="shared" si="53"/>
        <v>88</v>
      </c>
      <c r="DZ11" s="467">
        <f t="shared" si="54"/>
        <v>63</v>
      </c>
      <c r="EA11" s="467">
        <f t="shared" si="55"/>
        <v>5651</v>
      </c>
      <c r="EB11" s="467">
        <f t="shared" si="56"/>
        <v>192</v>
      </c>
      <c r="EC11" s="467">
        <f t="shared" si="57"/>
        <v>0</v>
      </c>
      <c r="ED11" s="467">
        <f t="shared" si="58"/>
        <v>6.5390000000000004E-2</v>
      </c>
      <c r="EE11" s="467">
        <f t="shared" si="59"/>
        <v>1.42</v>
      </c>
      <c r="EF11" s="138">
        <f t="shared" si="75"/>
        <v>1.44</v>
      </c>
      <c r="EG11" s="138" t="str">
        <f t="shared" si="76"/>
        <v>mapped as present but not field verified</v>
      </c>
      <c r="EH11" s="138">
        <f t="shared" si="77"/>
        <v>4.01</v>
      </c>
      <c r="EI11" s="138">
        <f t="shared" si="78"/>
        <v>1.65</v>
      </c>
      <c r="EJ11" s="138">
        <f t="shared" si="79"/>
        <v>1.32</v>
      </c>
    </row>
    <row r="12" spans="1:140" ht="44" customHeight="1" x14ac:dyDescent="0.35">
      <c r="A12" s="388">
        <v>7</v>
      </c>
      <c r="B12" s="215" t="s">
        <v>411</v>
      </c>
      <c r="C12" s="210">
        <v>7</v>
      </c>
      <c r="D12" s="196"/>
      <c r="E12" s="221"/>
      <c r="F12" s="197">
        <v>39059</v>
      </c>
      <c r="G12" s="197">
        <v>377.91160000000002</v>
      </c>
      <c r="H12" s="241">
        <f t="shared" si="60"/>
        <v>103.35485864948311</v>
      </c>
      <c r="I12" s="241">
        <f t="shared" si="61"/>
        <v>3.6564473594961471</v>
      </c>
      <c r="J12" s="212">
        <v>1</v>
      </c>
      <c r="K12" s="213">
        <v>0.9</v>
      </c>
      <c r="L12" s="213">
        <v>0.95</v>
      </c>
      <c r="M12" s="213">
        <v>1.04</v>
      </c>
      <c r="N12" s="241">
        <f t="shared" si="91"/>
        <v>17787.469143857517</v>
      </c>
      <c r="O12" s="221"/>
      <c r="P12" s="241">
        <f t="shared" si="62"/>
        <v>364.79753445109816</v>
      </c>
      <c r="Q12" s="241">
        <f t="shared" si="80"/>
        <v>364.79753445109816</v>
      </c>
      <c r="R12" s="242">
        <f t="shared" si="63"/>
        <v>0.88919997215199997</v>
      </c>
      <c r="S12" s="213">
        <v>0.44459998607599999</v>
      </c>
      <c r="T12" s="241">
        <f t="shared" si="6"/>
        <v>34731.26171228497</v>
      </c>
      <c r="U12" s="197">
        <v>0</v>
      </c>
      <c r="V12" s="243">
        <f t="shared" si="7"/>
        <v>0.34478528106707662</v>
      </c>
      <c r="W12" s="243">
        <f t="shared" si="8"/>
        <v>1.0768488385621648</v>
      </c>
      <c r="X12" s="241">
        <f t="shared" si="64"/>
        <v>69462.523424569939</v>
      </c>
      <c r="Y12" s="242">
        <f t="shared" si="9"/>
        <v>0.51214578068627503</v>
      </c>
      <c r="Z12" s="243">
        <f t="shared" si="10"/>
        <v>48.759839264324754</v>
      </c>
      <c r="AA12" s="243">
        <f t="shared" si="11"/>
        <v>5.2517172781267512E-3</v>
      </c>
      <c r="AB12" s="245">
        <f t="shared" si="12"/>
        <v>3.3514831103511108E-3</v>
      </c>
      <c r="AC12" s="245">
        <f t="shared" si="65"/>
        <v>2.1272299661610625</v>
      </c>
      <c r="AD12" s="245">
        <f t="shared" si="13"/>
        <v>1.952569049109417</v>
      </c>
      <c r="AE12" s="245">
        <f t="shared" si="14"/>
        <v>5.434068572506153E-3</v>
      </c>
      <c r="AF12" s="221"/>
      <c r="AG12" s="211">
        <v>-71.947374999999994</v>
      </c>
      <c r="AH12" s="242">
        <f>(AG12^2*-0.304-43.623*AG12-1561.6)*0.4012-0.2907</f>
        <v>1.0441765437761821</v>
      </c>
      <c r="AI12" s="242">
        <f t="shared" si="66"/>
        <v>1.1492309486864114</v>
      </c>
      <c r="AJ12" s="242">
        <f t="shared" si="67"/>
        <v>4.0071755735884693</v>
      </c>
      <c r="AK12" s="242">
        <f t="shared" si="68"/>
        <v>1.6507734907890521</v>
      </c>
      <c r="AL12" s="242">
        <f t="shared" si="69"/>
        <v>1.3175138855775219</v>
      </c>
      <c r="AM12" s="213">
        <v>0.44459998607599999</v>
      </c>
      <c r="AN12" s="212">
        <v>1</v>
      </c>
      <c r="AO12" s="212">
        <v>1</v>
      </c>
      <c r="AP12" s="212">
        <v>1</v>
      </c>
      <c r="AQ12" s="484">
        <f t="shared" si="70"/>
        <v>1.4445999860759999</v>
      </c>
      <c r="AR12" s="247" t="str">
        <f t="shared" si="84"/>
        <v>unlikely, too shallow</v>
      </c>
      <c r="AS12" s="221"/>
      <c r="AT12" s="197">
        <v>199746.7</v>
      </c>
      <c r="AU12" s="197">
        <v>0</v>
      </c>
      <c r="AV12" s="197">
        <v>0</v>
      </c>
      <c r="AW12" s="197">
        <v>24.103592399024944</v>
      </c>
      <c r="AX12" s="197">
        <v>14.784748323623893</v>
      </c>
      <c r="AY12" s="197">
        <v>15.283615972208329</v>
      </c>
      <c r="AZ12" s="197">
        <v>31.247200000000003</v>
      </c>
      <c r="BA12" s="214"/>
      <c r="BB12" s="197">
        <v>85.419156694857165</v>
      </c>
      <c r="BC12" s="241">
        <f t="shared" si="15"/>
        <v>85.419156694857165</v>
      </c>
      <c r="BD12" s="241">
        <f t="shared" si="16"/>
        <v>21.869263599901988</v>
      </c>
      <c r="BE12" s="241">
        <f t="shared" si="85"/>
        <v>85.419156694857165</v>
      </c>
      <c r="BF12" s="241">
        <f t="shared" si="86"/>
        <v>21.869263599901988</v>
      </c>
      <c r="BG12" s="248">
        <f t="shared" si="81"/>
        <v>0</v>
      </c>
      <c r="BH12" s="221"/>
      <c r="BI12" s="213">
        <f t="shared" si="71"/>
        <v>25.875575000000001</v>
      </c>
      <c r="BJ12" s="197">
        <v>103502.3</v>
      </c>
      <c r="BK12" s="213">
        <v>0</v>
      </c>
      <c r="BL12" s="197">
        <f t="shared" si="82"/>
        <v>0</v>
      </c>
      <c r="BM12" s="197" t="s">
        <v>549</v>
      </c>
      <c r="BN12" s="221"/>
      <c r="BO12" s="241">
        <f t="shared" si="87"/>
        <v>3.9058999999999999</v>
      </c>
      <c r="BP12" s="241">
        <f t="shared" si="88"/>
        <v>3.6564473594961471</v>
      </c>
      <c r="BQ12" s="242">
        <f t="shared" si="1"/>
        <v>1.04</v>
      </c>
      <c r="BR12" s="241">
        <f t="shared" si="17"/>
        <v>0</v>
      </c>
      <c r="BS12" s="244">
        <f t="shared" si="2"/>
        <v>5.2517172781267512E-3</v>
      </c>
      <c r="BT12" s="242">
        <f t="shared" si="3"/>
        <v>2.1272299661610625</v>
      </c>
      <c r="BU12" s="241">
        <f t="shared" si="4"/>
        <v>0</v>
      </c>
      <c r="BV12" s="221"/>
      <c r="BW12" s="495" t="s">
        <v>681</v>
      </c>
      <c r="BX12" s="496"/>
      <c r="BY12" s="314" t="s">
        <v>766</v>
      </c>
      <c r="BZ12" s="495" t="s">
        <v>682</v>
      </c>
      <c r="CA12" s="496"/>
      <c r="CB12" s="314" t="s">
        <v>766</v>
      </c>
      <c r="CC12" s="495" t="s">
        <v>683</v>
      </c>
      <c r="CD12" s="496"/>
      <c r="CE12" s="314" t="s">
        <v>766</v>
      </c>
      <c r="CF12" s="495" t="s">
        <v>684</v>
      </c>
      <c r="CG12" s="496"/>
      <c r="CH12" s="314" t="s">
        <v>766</v>
      </c>
      <c r="CI12" s="221"/>
      <c r="CJ12" s="303" t="str">
        <f t="shared" si="18"/>
        <v>intermediate complexity hydrodynamics</v>
      </c>
      <c r="CK12" s="304">
        <f t="shared" si="19"/>
        <v>2</v>
      </c>
      <c r="CL12" s="303" t="str">
        <f t="shared" si="20"/>
        <v>intermediate complexity water quality</v>
      </c>
      <c r="CM12" s="304">
        <f t="shared" si="21"/>
        <v>2</v>
      </c>
      <c r="CN12" s="303" t="str">
        <f t="shared" si="22"/>
        <v>shallow</v>
      </c>
      <c r="CO12" s="304">
        <f t="shared" si="23"/>
        <v>1</v>
      </c>
      <c r="CP12" s="303" t="str">
        <f t="shared" si="24"/>
        <v>tiny</v>
      </c>
      <c r="CQ12" s="304">
        <f t="shared" si="25"/>
        <v>1</v>
      </c>
      <c r="CR12" s="303" t="str">
        <f t="shared" si="26"/>
        <v>very low</v>
      </c>
      <c r="CS12" s="304">
        <f t="shared" si="27"/>
        <v>1</v>
      </c>
      <c r="CT12" s="303" t="str">
        <f t="shared" si="28"/>
        <v>none</v>
      </c>
      <c r="CU12" s="304">
        <f t="shared" si="29"/>
        <v>1</v>
      </c>
      <c r="CV12" s="304">
        <f t="shared" si="30"/>
        <v>82</v>
      </c>
      <c r="CW12" s="304" t="str">
        <f t="shared" si="31"/>
        <v>simple complexity hydrodynamics</v>
      </c>
      <c r="CX12" s="304">
        <f t="shared" si="89"/>
        <v>56</v>
      </c>
      <c r="CY12" s="304" t="str">
        <f t="shared" si="32"/>
        <v>intermediate complexity water quality</v>
      </c>
      <c r="CZ12" s="216" t="s">
        <v>613</v>
      </c>
      <c r="DA12" s="252" t="str">
        <f t="shared" si="72"/>
        <v>-</v>
      </c>
      <c r="DB12" s="251" t="str">
        <f t="shared" si="33"/>
        <v>simple complexity hydrodynamics; intermediate complexity water quality</v>
      </c>
      <c r="DC12" s="227"/>
      <c r="DD12" s="475" t="str">
        <f t="shared" si="73"/>
        <v>Wilcox Cove</v>
      </c>
      <c r="DE12" s="475">
        <f t="shared" si="74"/>
        <v>7</v>
      </c>
      <c r="DF12" s="465">
        <f t="shared" si="34"/>
        <v>0.2</v>
      </c>
      <c r="DG12" s="466">
        <f t="shared" si="35"/>
        <v>0.04</v>
      </c>
      <c r="DH12" s="465">
        <f t="shared" si="36"/>
        <v>0.38</v>
      </c>
      <c r="DI12" s="465">
        <f t="shared" si="37"/>
        <v>103.4</v>
      </c>
      <c r="DJ12" s="465">
        <f t="shared" si="38"/>
        <v>4</v>
      </c>
      <c r="DK12" s="465">
        <f t="shared" si="39"/>
        <v>0.9</v>
      </c>
      <c r="DL12" s="465">
        <f t="shared" si="40"/>
        <v>1</v>
      </c>
      <c r="DM12" s="465">
        <f t="shared" si="41"/>
        <v>1</v>
      </c>
      <c r="DN12" s="465">
        <f t="shared" si="42"/>
        <v>100</v>
      </c>
      <c r="DO12" s="465">
        <f t="shared" si="43"/>
        <v>17787</v>
      </c>
      <c r="DP12" s="465">
        <f t="shared" si="44"/>
        <v>34731</v>
      </c>
      <c r="DQ12" s="464">
        <f t="shared" si="45"/>
        <v>0.89</v>
      </c>
      <c r="DR12" s="467">
        <f t="shared" si="46"/>
        <v>0</v>
      </c>
      <c r="DS12" s="467">
        <f t="shared" si="47"/>
        <v>365</v>
      </c>
      <c r="DT12" s="467">
        <f t="shared" si="48"/>
        <v>48.8</v>
      </c>
      <c r="DU12" s="467">
        <f t="shared" si="49"/>
        <v>0.5</v>
      </c>
      <c r="DV12" s="467">
        <f t="shared" si="50"/>
        <v>25.88</v>
      </c>
      <c r="DW12" s="467">
        <f t="shared" si="51"/>
        <v>0</v>
      </c>
      <c r="DX12" s="467">
        <f t="shared" si="52"/>
        <v>100</v>
      </c>
      <c r="DY12" s="467">
        <f t="shared" si="53"/>
        <v>100</v>
      </c>
      <c r="DZ12" s="467">
        <f t="shared" si="54"/>
        <v>100</v>
      </c>
      <c r="EA12" s="467">
        <f t="shared" si="55"/>
        <v>85</v>
      </c>
      <c r="EB12" s="467">
        <f t="shared" si="56"/>
        <v>22</v>
      </c>
      <c r="EC12" s="467">
        <f t="shared" si="57"/>
        <v>0</v>
      </c>
      <c r="ED12" s="467">
        <f t="shared" si="58"/>
        <v>5.2500000000000003E-3</v>
      </c>
      <c r="EE12" s="467">
        <f t="shared" si="59"/>
        <v>2.13</v>
      </c>
      <c r="EF12" s="138">
        <f t="shared" si="75"/>
        <v>1.44</v>
      </c>
      <c r="EG12" s="138" t="str">
        <f t="shared" si="76"/>
        <v>unlikely, too shallow</v>
      </c>
      <c r="EH12" s="138">
        <f t="shared" si="77"/>
        <v>4.01</v>
      </c>
      <c r="EI12" s="138">
        <f t="shared" si="78"/>
        <v>1.65</v>
      </c>
      <c r="EJ12" s="138">
        <f t="shared" si="79"/>
        <v>1.32</v>
      </c>
    </row>
    <row r="13" spans="1:140" s="275" customFormat="1" ht="44" customHeight="1" x14ac:dyDescent="0.35">
      <c r="A13" s="389">
        <v>8</v>
      </c>
      <c r="B13" s="281" t="s">
        <v>412</v>
      </c>
      <c r="C13" s="257">
        <v>8</v>
      </c>
      <c r="D13" s="256" t="s">
        <v>400</v>
      </c>
      <c r="E13" s="258"/>
      <c r="F13" s="259">
        <v>57454</v>
      </c>
      <c r="G13" s="259">
        <v>1195.2280000000001</v>
      </c>
      <c r="H13" s="260">
        <f t="shared" si="60"/>
        <v>48.069489670590045</v>
      </c>
      <c r="I13" s="260">
        <f t="shared" si="61"/>
        <v>24.864586834406659</v>
      </c>
      <c r="J13" s="261">
        <v>1</v>
      </c>
      <c r="K13" s="262">
        <v>0.75</v>
      </c>
      <c r="L13" s="262">
        <v>0.45</v>
      </c>
      <c r="M13" s="262">
        <v>1.35</v>
      </c>
      <c r="N13" s="260">
        <f t="shared" si="91"/>
        <v>17437.288808218549</v>
      </c>
      <c r="O13" s="258"/>
      <c r="P13" s="260">
        <f t="shared" si="62"/>
        <v>11039.115698541485</v>
      </c>
      <c r="Q13" s="260">
        <f t="shared" si="80"/>
        <v>11039.115698541485</v>
      </c>
      <c r="R13" s="263">
        <f t="shared" si="63"/>
        <v>0.89300000667599999</v>
      </c>
      <c r="S13" s="262">
        <v>0.446500003338</v>
      </c>
      <c r="T13" s="260">
        <f t="shared" si="6"/>
        <v>51306.422383562902</v>
      </c>
      <c r="U13" s="259">
        <v>3</v>
      </c>
      <c r="V13" s="264">
        <f t="shared" si="7"/>
        <v>1.0381992671807401</v>
      </c>
      <c r="W13" s="264">
        <f t="shared" si="8"/>
        <v>3.2500188372588661</v>
      </c>
      <c r="X13" s="260">
        <f t="shared" si="64"/>
        <v>102612.8447671258</v>
      </c>
      <c r="Y13" s="263">
        <f t="shared" si="9"/>
        <v>0.33986561522178854</v>
      </c>
      <c r="Z13" s="264">
        <f t="shared" si="10"/>
        <v>1.5795910908445687</v>
      </c>
      <c r="AA13" s="264">
        <f t="shared" si="11"/>
        <v>0.10758025200055754</v>
      </c>
      <c r="AB13" s="266">
        <f t="shared" si="12"/>
        <v>0.12274550410796395</v>
      </c>
      <c r="AC13" s="266">
        <f t="shared" si="65"/>
        <v>3.8032229219704687</v>
      </c>
      <c r="AD13" s="266">
        <f t="shared" si="13"/>
        <v>2.9423394283279372</v>
      </c>
      <c r="AE13" s="266">
        <f t="shared" si="14"/>
        <v>0.11131567741724355</v>
      </c>
      <c r="AF13" s="258"/>
      <c r="AG13" s="267">
        <v>-71.962182999999996</v>
      </c>
      <c r="AH13" s="263">
        <f>(AG13^2*-0.304-43.623*AG13-1561.6)*0.4012-0.2907</f>
        <v>1.0434309186318951</v>
      </c>
      <c r="AI13" s="263">
        <f t="shared" si="66"/>
        <v>1.1500521774583716</v>
      </c>
      <c r="AJ13" s="263">
        <f t="shared" si="67"/>
        <v>4.0043141313514745</v>
      </c>
      <c r="AK13" s="263">
        <f t="shared" si="68"/>
        <v>1.6495947071536685</v>
      </c>
      <c r="AL13" s="263">
        <f t="shared" si="69"/>
        <v>1.3165730758199292</v>
      </c>
      <c r="AM13" s="262">
        <v>0.446500003338</v>
      </c>
      <c r="AN13" s="261">
        <v>1</v>
      </c>
      <c r="AO13" s="261">
        <v>1</v>
      </c>
      <c r="AP13" s="261">
        <v>0.75</v>
      </c>
      <c r="AQ13" s="481">
        <f t="shared" si="70"/>
        <v>1.446500003338</v>
      </c>
      <c r="AR13" s="268" t="str">
        <f t="shared" si="84"/>
        <v>unlikely, too shallow</v>
      </c>
      <c r="AS13" s="258"/>
      <c r="AT13" s="259">
        <v>6256341</v>
      </c>
      <c r="AU13" s="259">
        <v>0</v>
      </c>
      <c r="AV13" s="259">
        <v>0</v>
      </c>
      <c r="AW13" s="259">
        <v>2540.9105825718043</v>
      </c>
      <c r="AX13" s="259">
        <v>1701.3533713966185</v>
      </c>
      <c r="AY13" s="259">
        <v>803.62036681068048</v>
      </c>
      <c r="AZ13" s="259">
        <v>45.963200000000001</v>
      </c>
      <c r="BA13" s="269"/>
      <c r="BB13" s="259">
        <v>5091.8475207791034</v>
      </c>
      <c r="BC13" s="260">
        <f t="shared" si="15"/>
        <v>5091.8475207791034</v>
      </c>
      <c r="BD13" s="260">
        <f t="shared" si="16"/>
        <v>886.24769742387014</v>
      </c>
      <c r="BE13" s="260">
        <f t="shared" si="85"/>
        <v>5091.8475207791034</v>
      </c>
      <c r="BF13" s="260">
        <f t="shared" si="86"/>
        <v>886.24769742387014</v>
      </c>
      <c r="BG13" s="270">
        <f t="shared" si="81"/>
        <v>0</v>
      </c>
      <c r="BH13" s="258"/>
      <c r="BI13" s="262">
        <f t="shared" si="71"/>
        <v>25.426199999999998</v>
      </c>
      <c r="BJ13" s="259">
        <v>101704.79999999999</v>
      </c>
      <c r="BK13" s="262">
        <v>0</v>
      </c>
      <c r="BL13" s="259">
        <f t="shared" si="82"/>
        <v>0</v>
      </c>
      <c r="BM13" s="259" t="s">
        <v>549</v>
      </c>
      <c r="BN13" s="258"/>
      <c r="BO13" s="260">
        <f t="shared" si="87"/>
        <v>5.7454000000000001</v>
      </c>
      <c r="BP13" s="260">
        <f t="shared" si="88"/>
        <v>24.864586834406659</v>
      </c>
      <c r="BQ13" s="263">
        <f t="shared" si="1"/>
        <v>1.35</v>
      </c>
      <c r="BR13" s="260">
        <f t="shared" si="17"/>
        <v>3</v>
      </c>
      <c r="BS13" s="265">
        <f t="shared" si="2"/>
        <v>0.10758025200055754</v>
      </c>
      <c r="BT13" s="263">
        <f t="shared" si="3"/>
        <v>3.8032229219704687</v>
      </c>
      <c r="BU13" s="260">
        <f t="shared" si="4"/>
        <v>0</v>
      </c>
      <c r="BV13" s="258"/>
      <c r="BW13" s="315">
        <v>0</v>
      </c>
      <c r="BX13" s="138" t="s">
        <v>492</v>
      </c>
      <c r="BY13" s="316">
        <v>1</v>
      </c>
      <c r="BZ13" s="315">
        <v>0</v>
      </c>
      <c r="CA13" s="138" t="s">
        <v>496</v>
      </c>
      <c r="CB13" s="316">
        <v>1</v>
      </c>
      <c r="CC13" s="315">
        <v>0</v>
      </c>
      <c r="CD13" s="138" t="s">
        <v>488</v>
      </c>
      <c r="CE13" s="316">
        <v>1</v>
      </c>
      <c r="CF13" s="315">
        <v>0</v>
      </c>
      <c r="CG13" s="138" t="s">
        <v>502</v>
      </c>
      <c r="CH13" s="316">
        <v>1</v>
      </c>
      <c r="CI13" s="258"/>
      <c r="CJ13" s="312" t="str">
        <f t="shared" si="18"/>
        <v>complex hydrodynamics</v>
      </c>
      <c r="CK13" s="313">
        <f t="shared" si="19"/>
        <v>3</v>
      </c>
      <c r="CL13" s="312" t="str">
        <f t="shared" si="20"/>
        <v>intermediate or complex water quality</v>
      </c>
      <c r="CM13" s="313">
        <f t="shared" si="21"/>
        <v>3</v>
      </c>
      <c r="CN13" s="312" t="str">
        <f t="shared" si="22"/>
        <v>shallow</v>
      </c>
      <c r="CO13" s="313">
        <f t="shared" si="23"/>
        <v>1</v>
      </c>
      <c r="CP13" s="312" t="str">
        <f t="shared" si="24"/>
        <v>tiny</v>
      </c>
      <c r="CQ13" s="313">
        <f t="shared" si="25"/>
        <v>1</v>
      </c>
      <c r="CR13" s="312" t="str">
        <f t="shared" si="26"/>
        <v>moderate</v>
      </c>
      <c r="CS13" s="313">
        <f t="shared" si="27"/>
        <v>3</v>
      </c>
      <c r="CT13" s="312" t="str">
        <f t="shared" si="28"/>
        <v>mouth</v>
      </c>
      <c r="CU13" s="313">
        <f t="shared" si="29"/>
        <v>4</v>
      </c>
      <c r="CV13" s="313">
        <f t="shared" si="30"/>
        <v>117</v>
      </c>
      <c r="CW13" s="313" t="str">
        <f t="shared" si="31"/>
        <v>intermediate complexity hydrodynamics</v>
      </c>
      <c r="CX13" s="313">
        <f t="shared" si="89"/>
        <v>76</v>
      </c>
      <c r="CY13" s="313" t="str">
        <f t="shared" si="32"/>
        <v>intermediate complexity water quality</v>
      </c>
      <c r="CZ13" s="273" t="s">
        <v>614</v>
      </c>
      <c r="DA13" s="272" t="str">
        <f t="shared" si="72"/>
        <v>-</v>
      </c>
      <c r="DB13" s="271" t="str">
        <f t="shared" si="33"/>
        <v>intermediate complexity hydrodynamics; intermediate complexity water quality</v>
      </c>
      <c r="DC13" s="274"/>
      <c r="DD13" s="475" t="str">
        <f t="shared" si="73"/>
        <v>Williams Cove</v>
      </c>
      <c r="DE13" s="475">
        <f t="shared" si="74"/>
        <v>8</v>
      </c>
      <c r="DF13" s="464">
        <f t="shared" si="34"/>
        <v>6.26</v>
      </c>
      <c r="DG13" s="479">
        <f t="shared" si="35"/>
        <v>0.06</v>
      </c>
      <c r="DH13" s="464">
        <f t="shared" si="36"/>
        <v>1.2</v>
      </c>
      <c r="DI13" s="464">
        <f t="shared" si="37"/>
        <v>48.1</v>
      </c>
      <c r="DJ13" s="464">
        <f t="shared" si="38"/>
        <v>25</v>
      </c>
      <c r="DK13" s="464">
        <f t="shared" si="39"/>
        <v>0.8</v>
      </c>
      <c r="DL13" s="464">
        <f t="shared" si="40"/>
        <v>0.5</v>
      </c>
      <c r="DM13" s="464">
        <f t="shared" si="41"/>
        <v>1.4</v>
      </c>
      <c r="DN13" s="464">
        <f t="shared" si="42"/>
        <v>100</v>
      </c>
      <c r="DO13" s="464">
        <f t="shared" si="43"/>
        <v>17437</v>
      </c>
      <c r="DP13" s="464">
        <f t="shared" si="44"/>
        <v>51306</v>
      </c>
      <c r="DQ13" s="464">
        <f t="shared" si="45"/>
        <v>0.89</v>
      </c>
      <c r="DR13" s="464">
        <f t="shared" si="46"/>
        <v>3</v>
      </c>
      <c r="DS13" s="464">
        <f t="shared" si="47"/>
        <v>11039</v>
      </c>
      <c r="DT13" s="464">
        <f t="shared" si="48"/>
        <v>1.6</v>
      </c>
      <c r="DU13" s="464">
        <f t="shared" si="49"/>
        <v>0.3</v>
      </c>
      <c r="DV13" s="464">
        <f t="shared" si="50"/>
        <v>25.43</v>
      </c>
      <c r="DW13" s="464">
        <f t="shared" si="51"/>
        <v>0</v>
      </c>
      <c r="DX13" s="464">
        <f t="shared" si="52"/>
        <v>100</v>
      </c>
      <c r="DY13" s="464">
        <f t="shared" si="53"/>
        <v>100</v>
      </c>
      <c r="DZ13" s="464">
        <f t="shared" si="54"/>
        <v>75</v>
      </c>
      <c r="EA13" s="464">
        <f t="shared" si="55"/>
        <v>5092</v>
      </c>
      <c r="EB13" s="464">
        <f t="shared" si="56"/>
        <v>886</v>
      </c>
      <c r="EC13" s="464">
        <f t="shared" si="57"/>
        <v>0</v>
      </c>
      <c r="ED13" s="464">
        <f t="shared" si="58"/>
        <v>0.10758</v>
      </c>
      <c r="EE13" s="464">
        <f t="shared" si="59"/>
        <v>3.8</v>
      </c>
      <c r="EF13" s="275">
        <f t="shared" si="75"/>
        <v>1.45</v>
      </c>
      <c r="EG13" s="275" t="str">
        <f t="shared" si="76"/>
        <v>unlikely, too shallow</v>
      </c>
      <c r="EH13" s="275">
        <f t="shared" si="77"/>
        <v>4</v>
      </c>
      <c r="EI13" s="275">
        <f t="shared" si="78"/>
        <v>1.65</v>
      </c>
      <c r="EJ13" s="275">
        <f t="shared" si="79"/>
        <v>1.32</v>
      </c>
    </row>
    <row r="14" spans="1:140" s="275" customFormat="1" ht="44" customHeight="1" x14ac:dyDescent="0.35">
      <c r="A14" s="389">
        <v>9</v>
      </c>
      <c r="B14" s="281" t="s">
        <v>183</v>
      </c>
      <c r="C14" s="257">
        <v>9</v>
      </c>
      <c r="D14" s="256" t="s">
        <v>400</v>
      </c>
      <c r="E14" s="258"/>
      <c r="F14" s="259">
        <v>1171700</v>
      </c>
      <c r="G14" s="259">
        <v>5131.62</v>
      </c>
      <c r="H14" s="260">
        <f t="shared" si="60"/>
        <v>228.32945541563873</v>
      </c>
      <c r="I14" s="260">
        <f t="shared" si="61"/>
        <v>22.474629874882648</v>
      </c>
      <c r="J14" s="261">
        <v>1</v>
      </c>
      <c r="K14" s="262">
        <v>1.2749999999999999</v>
      </c>
      <c r="L14" s="262">
        <v>0.95</v>
      </c>
      <c r="M14" s="262">
        <v>3.15</v>
      </c>
      <c r="N14" s="260">
        <f t="shared" si="91"/>
        <v>970519.10212266073</v>
      </c>
      <c r="O14" s="258"/>
      <c r="P14" s="260">
        <f t="shared" si="62"/>
        <v>115829.21837064794</v>
      </c>
      <c r="Q14" s="260">
        <f t="shared" si="80"/>
        <v>115829.21837064794</v>
      </c>
      <c r="R14" s="263">
        <f t="shared" si="63"/>
        <v>0.89340001344599995</v>
      </c>
      <c r="S14" s="262">
        <v>0.44670000672299998</v>
      </c>
      <c r="T14" s="260">
        <f t="shared" si="6"/>
        <v>1046796.7957546782</v>
      </c>
      <c r="U14" s="259">
        <v>3</v>
      </c>
      <c r="V14" s="264">
        <f t="shared" si="7"/>
        <v>3.6222716898714999</v>
      </c>
      <c r="W14" s="264">
        <f t="shared" si="8"/>
        <v>11.476193026144999</v>
      </c>
      <c r="X14" s="260">
        <f t="shared" si="64"/>
        <v>2093593.5915093564</v>
      </c>
      <c r="Y14" s="263">
        <f t="shared" si="9"/>
        <v>0.92713228208056775</v>
      </c>
      <c r="Z14" s="264">
        <f t="shared" si="10"/>
        <v>8.3788798351124694</v>
      </c>
      <c r="AA14" s="264">
        <f t="shared" si="11"/>
        <v>5.5325550689683742E-2</v>
      </c>
      <c r="AB14" s="266">
        <f t="shared" si="12"/>
        <v>3.90647682964766E-2</v>
      </c>
      <c r="AC14" s="266">
        <f t="shared" si="65"/>
        <v>2.3536303335136854</v>
      </c>
      <c r="AD14" s="266">
        <f t="shared" si="13"/>
        <v>1.0785947370486448</v>
      </c>
      <c r="AE14" s="266">
        <f t="shared" si="14"/>
        <v>5.7246576755297762E-2</v>
      </c>
      <c r="AF14" s="258"/>
      <c r="AG14" s="267">
        <v>-71.970247000000001</v>
      </c>
      <c r="AH14" s="277">
        <v>1.0596814778070656</v>
      </c>
      <c r="AI14" s="277">
        <f t="shared" si="66"/>
        <v>1.1324157542918589</v>
      </c>
      <c r="AJ14" s="277">
        <f t="shared" si="67"/>
        <v>4.0666779568674158</v>
      </c>
      <c r="AK14" s="277">
        <f t="shared" si="68"/>
        <v>1.6752857576343239</v>
      </c>
      <c r="AL14" s="277">
        <f t="shared" si="69"/>
        <v>1.3370775944181517</v>
      </c>
      <c r="AM14" s="278">
        <v>0.44670000672299998</v>
      </c>
      <c r="AN14" s="261">
        <v>1</v>
      </c>
      <c r="AO14" s="261">
        <v>0.8</v>
      </c>
      <c r="AP14" s="261">
        <v>0.58333333333333304</v>
      </c>
      <c r="AQ14" s="481">
        <f t="shared" si="70"/>
        <v>1.446700006723</v>
      </c>
      <c r="AR14" s="268" t="str">
        <f t="shared" si="84"/>
        <v>marginally possible now</v>
      </c>
      <c r="AS14" s="258"/>
      <c r="AT14" s="259">
        <v>67222740</v>
      </c>
      <c r="AU14" s="259">
        <v>8029.7123800000008</v>
      </c>
      <c r="AV14" s="259">
        <v>9602.5426399999997</v>
      </c>
      <c r="AW14" s="259">
        <v>7682.2943971535442</v>
      </c>
      <c r="AX14" s="259">
        <v>9223.2915269617642</v>
      </c>
      <c r="AY14" s="259">
        <v>4057.8768358578045</v>
      </c>
      <c r="AZ14" s="259">
        <v>937.36</v>
      </c>
      <c r="BA14" s="269"/>
      <c r="BB14" s="259">
        <v>29930.535139973115</v>
      </c>
      <c r="BC14" s="260">
        <f t="shared" si="15"/>
        <v>31503.365399973114</v>
      </c>
      <c r="BD14" s="260">
        <f t="shared" si="16"/>
        <v>268.86886916423242</v>
      </c>
      <c r="BE14" s="260">
        <f t="shared" si="85"/>
        <v>31503.365399973114</v>
      </c>
      <c r="BF14" s="260">
        <f t="shared" si="86"/>
        <v>268.86886916423242</v>
      </c>
      <c r="BG14" s="270">
        <f t="shared" si="81"/>
        <v>30.481005816629974</v>
      </c>
      <c r="BH14" s="258"/>
      <c r="BI14" s="262">
        <f t="shared" si="71"/>
        <v>35.860225</v>
      </c>
      <c r="BJ14" s="259">
        <v>143440.9</v>
      </c>
      <c r="BK14" s="262">
        <v>0</v>
      </c>
      <c r="BL14" s="259">
        <f t="shared" si="82"/>
        <v>0</v>
      </c>
      <c r="BM14" s="259" t="s">
        <v>551</v>
      </c>
      <c r="BN14" s="258"/>
      <c r="BO14" s="260">
        <f t="shared" si="87"/>
        <v>117.17</v>
      </c>
      <c r="BP14" s="260">
        <f t="shared" si="88"/>
        <v>22.474629874882648</v>
      </c>
      <c r="BQ14" s="263">
        <f t="shared" si="1"/>
        <v>3.15</v>
      </c>
      <c r="BR14" s="260">
        <f t="shared" si="17"/>
        <v>3</v>
      </c>
      <c r="BS14" s="265">
        <f t="shared" si="2"/>
        <v>5.5325550689683742E-2</v>
      </c>
      <c r="BT14" s="263">
        <f t="shared" si="3"/>
        <v>2.3536303335136854</v>
      </c>
      <c r="BU14" s="260">
        <f t="shared" si="4"/>
        <v>30.481005816629974</v>
      </c>
      <c r="BV14" s="258"/>
      <c r="BW14" s="315">
        <v>3.5</v>
      </c>
      <c r="BX14" s="138" t="s">
        <v>489</v>
      </c>
      <c r="BY14" s="316">
        <v>2</v>
      </c>
      <c r="BZ14" s="315">
        <v>6</v>
      </c>
      <c r="CA14" s="138" t="s">
        <v>497</v>
      </c>
      <c r="CB14" s="316">
        <v>2</v>
      </c>
      <c r="CC14" s="315">
        <v>10</v>
      </c>
      <c r="CD14" s="138" t="s">
        <v>487</v>
      </c>
      <c r="CE14" s="316">
        <v>2</v>
      </c>
      <c r="CF14" s="315">
        <v>1</v>
      </c>
      <c r="CG14" s="138" t="s">
        <v>503</v>
      </c>
      <c r="CH14" s="316">
        <v>2</v>
      </c>
      <c r="CI14" s="258"/>
      <c r="CJ14" s="312" t="str">
        <f t="shared" si="18"/>
        <v>complex hydrodynamics</v>
      </c>
      <c r="CK14" s="313">
        <f t="shared" si="19"/>
        <v>3</v>
      </c>
      <c r="CL14" s="312" t="str">
        <f t="shared" si="20"/>
        <v>intermediate complexity water quality</v>
      </c>
      <c r="CM14" s="313">
        <f t="shared" si="21"/>
        <v>2</v>
      </c>
      <c r="CN14" s="312" t="str">
        <f t="shared" si="22"/>
        <v>shallow</v>
      </c>
      <c r="CO14" s="313">
        <f t="shared" si="23"/>
        <v>1</v>
      </c>
      <c r="CP14" s="312" t="str">
        <f t="shared" si="24"/>
        <v>mid-size</v>
      </c>
      <c r="CQ14" s="313">
        <f t="shared" si="25"/>
        <v>4</v>
      </c>
      <c r="CR14" s="312" t="str">
        <f t="shared" si="26"/>
        <v>moderate</v>
      </c>
      <c r="CS14" s="313">
        <f t="shared" si="27"/>
        <v>3</v>
      </c>
      <c r="CT14" s="312" t="str">
        <f t="shared" si="28"/>
        <v>mouth</v>
      </c>
      <c r="CU14" s="313">
        <f t="shared" si="29"/>
        <v>4</v>
      </c>
      <c r="CV14" s="313">
        <f t="shared" si="30"/>
        <v>137</v>
      </c>
      <c r="CW14" s="313" t="str">
        <f t="shared" si="31"/>
        <v>intermediate complexity hydrodynamics</v>
      </c>
      <c r="CX14" s="313">
        <f t="shared" si="89"/>
        <v>73</v>
      </c>
      <c r="CY14" s="313" t="str">
        <f t="shared" si="32"/>
        <v>intermediate complexity water quality</v>
      </c>
      <c r="CZ14" s="273" t="s">
        <v>615</v>
      </c>
      <c r="DA14" s="272" t="str">
        <f t="shared" si="72"/>
        <v>WASP</v>
      </c>
      <c r="DB14" s="271" t="str">
        <f t="shared" si="33"/>
        <v>intermediate complexity hydrodynamics; intermediate complexity water quality (WASP)</v>
      </c>
      <c r="DC14" s="274"/>
      <c r="DD14" s="475" t="str">
        <f t="shared" si="73"/>
        <v>Mystic River</v>
      </c>
      <c r="DE14" s="475">
        <f t="shared" si="74"/>
        <v>9</v>
      </c>
      <c r="DF14" s="464">
        <f t="shared" si="34"/>
        <v>67.22</v>
      </c>
      <c r="DG14" s="479">
        <f t="shared" si="35"/>
        <v>1.17</v>
      </c>
      <c r="DH14" s="464">
        <f t="shared" si="36"/>
        <v>5.13</v>
      </c>
      <c r="DI14" s="464">
        <f t="shared" si="37"/>
        <v>228.3</v>
      </c>
      <c r="DJ14" s="464">
        <f t="shared" si="38"/>
        <v>22</v>
      </c>
      <c r="DK14" s="464">
        <f t="shared" si="39"/>
        <v>1.3</v>
      </c>
      <c r="DL14" s="464">
        <f t="shared" si="40"/>
        <v>1</v>
      </c>
      <c r="DM14" s="464">
        <f t="shared" si="41"/>
        <v>3.2</v>
      </c>
      <c r="DN14" s="464">
        <f t="shared" si="42"/>
        <v>100</v>
      </c>
      <c r="DO14" s="464">
        <f t="shared" si="43"/>
        <v>970519</v>
      </c>
      <c r="DP14" s="464">
        <f t="shared" si="44"/>
        <v>1046797</v>
      </c>
      <c r="DQ14" s="464">
        <f t="shared" si="45"/>
        <v>0.89</v>
      </c>
      <c r="DR14" s="464">
        <f t="shared" si="46"/>
        <v>3</v>
      </c>
      <c r="DS14" s="464">
        <f t="shared" si="47"/>
        <v>115829</v>
      </c>
      <c r="DT14" s="464">
        <f t="shared" si="48"/>
        <v>8.4</v>
      </c>
      <c r="DU14" s="464">
        <f t="shared" si="49"/>
        <v>0.9</v>
      </c>
      <c r="DV14" s="464">
        <f t="shared" si="50"/>
        <v>35.86</v>
      </c>
      <c r="DW14" s="464">
        <f t="shared" si="51"/>
        <v>0</v>
      </c>
      <c r="DX14" s="464">
        <f t="shared" si="52"/>
        <v>100</v>
      </c>
      <c r="DY14" s="464">
        <f t="shared" si="53"/>
        <v>80</v>
      </c>
      <c r="DZ14" s="464">
        <f t="shared" si="54"/>
        <v>58</v>
      </c>
      <c r="EA14" s="464">
        <f t="shared" si="55"/>
        <v>31503</v>
      </c>
      <c r="EB14" s="464">
        <f t="shared" si="56"/>
        <v>269</v>
      </c>
      <c r="EC14" s="464">
        <f t="shared" si="57"/>
        <v>30</v>
      </c>
      <c r="ED14" s="464">
        <f t="shared" si="58"/>
        <v>5.5329999999999997E-2</v>
      </c>
      <c r="EE14" s="464">
        <f t="shared" si="59"/>
        <v>2.35</v>
      </c>
      <c r="EF14" s="275">
        <f t="shared" si="75"/>
        <v>1.45</v>
      </c>
      <c r="EG14" s="275" t="str">
        <f t="shared" si="76"/>
        <v>marginally possible now</v>
      </c>
      <c r="EH14" s="275">
        <f t="shared" si="77"/>
        <v>4.07</v>
      </c>
      <c r="EI14" s="275">
        <f t="shared" si="78"/>
        <v>1.68</v>
      </c>
      <c r="EJ14" s="275">
        <f t="shared" si="79"/>
        <v>1.34</v>
      </c>
    </row>
    <row r="15" spans="1:140" s="275" customFormat="1" ht="44" customHeight="1" x14ac:dyDescent="0.35">
      <c r="A15" s="389">
        <v>10</v>
      </c>
      <c r="B15" s="281" t="s">
        <v>413</v>
      </c>
      <c r="C15" s="257">
        <v>10</v>
      </c>
      <c r="D15" s="256" t="s">
        <v>400</v>
      </c>
      <c r="E15" s="258"/>
      <c r="F15" s="259">
        <v>534864</v>
      </c>
      <c r="G15" s="259">
        <v>1166.548</v>
      </c>
      <c r="H15" s="260">
        <f t="shared" si="60"/>
        <v>458.50149329474652</v>
      </c>
      <c r="I15" s="260">
        <f t="shared" si="61"/>
        <v>2.5442621606688807</v>
      </c>
      <c r="J15" s="261">
        <v>1</v>
      </c>
      <c r="K15" s="262">
        <v>1.1875</v>
      </c>
      <c r="L15" s="262">
        <v>0.95</v>
      </c>
      <c r="M15" s="262">
        <v>2.84</v>
      </c>
      <c r="N15" s="260">
        <f t="shared" si="91"/>
        <v>400720.10155687173</v>
      </c>
      <c r="O15" s="258"/>
      <c r="P15" s="260">
        <f t="shared" si="62"/>
        <v>3117.2928942999542</v>
      </c>
      <c r="Q15" s="260">
        <f t="shared" si="80"/>
        <v>3117.2928942999542</v>
      </c>
      <c r="R15" s="263">
        <f t="shared" si="63"/>
        <v>0.87660002708399998</v>
      </c>
      <c r="S15" s="262">
        <v>0.43830001354199999</v>
      </c>
      <c r="T15" s="260">
        <f t="shared" si="6"/>
        <v>468861.79688625655</v>
      </c>
      <c r="U15" s="259">
        <v>3</v>
      </c>
      <c r="V15" s="264">
        <f t="shared" si="7"/>
        <v>1.06612603473094</v>
      </c>
      <c r="W15" s="264">
        <f t="shared" si="8"/>
        <v>3.3319094880148667</v>
      </c>
      <c r="X15" s="260">
        <f t="shared" si="64"/>
        <v>937723.59377251309</v>
      </c>
      <c r="Y15" s="263">
        <f t="shared" si="9"/>
        <v>0.85466571219511056</v>
      </c>
      <c r="Z15" s="264">
        <f t="shared" si="10"/>
        <v>128.54746574811696</v>
      </c>
      <c r="AA15" s="264">
        <f t="shared" si="11"/>
        <v>3.3243195702892738E-3</v>
      </c>
      <c r="AB15" s="266">
        <f t="shared" si="12"/>
        <v>3.9301112433172795E-3</v>
      </c>
      <c r="AC15" s="266">
        <f t="shared" si="65"/>
        <v>3.9407675868892582</v>
      </c>
      <c r="AD15" s="266">
        <f t="shared" si="13"/>
        <v>1.1700481085541796</v>
      </c>
      <c r="AE15" s="266">
        <f t="shared" si="14"/>
        <v>3.4397473331465407E-3</v>
      </c>
      <c r="AF15" s="258"/>
      <c r="AG15" s="267">
        <v>-71.985298999999998</v>
      </c>
      <c r="AH15" s="263">
        <f t="shared" ref="AH15:AH22" si="92">(AG15^2*-0.304-43.623*AG15-1561.6)*0.4012-0.2907</f>
        <v>1.0421600413440313</v>
      </c>
      <c r="AI15" s="263">
        <f t="shared" si="66"/>
        <v>1.1514546253878712</v>
      </c>
      <c r="AJ15" s="263">
        <f t="shared" si="67"/>
        <v>3.9994369595213746</v>
      </c>
      <c r="AK15" s="263">
        <f t="shared" si="68"/>
        <v>1.6475855349027151</v>
      </c>
      <c r="AL15" s="263">
        <f t="shared" si="69"/>
        <v>1.314969517031326</v>
      </c>
      <c r="AM15" s="262">
        <v>0.43830001354199999</v>
      </c>
      <c r="AN15" s="261">
        <v>1</v>
      </c>
      <c r="AO15" s="261">
        <v>0.875</v>
      </c>
      <c r="AP15" s="261">
        <v>0.75</v>
      </c>
      <c r="AQ15" s="481">
        <f t="shared" si="70"/>
        <v>1.4383000135419999</v>
      </c>
      <c r="AR15" s="268" t="str">
        <f t="shared" si="84"/>
        <v>not mapped in 2017, but field verified by another source</v>
      </c>
      <c r="AS15" s="258"/>
      <c r="AT15" s="259">
        <v>1744282</v>
      </c>
      <c r="AU15" s="259">
        <v>0</v>
      </c>
      <c r="AV15" s="259">
        <v>0</v>
      </c>
      <c r="AW15" s="259">
        <v>325.6639792615706</v>
      </c>
      <c r="AX15" s="259">
        <v>419.27456833456029</v>
      </c>
      <c r="AY15" s="259">
        <v>176.79766400844088</v>
      </c>
      <c r="AZ15" s="259">
        <v>427.89120000000003</v>
      </c>
      <c r="BA15" s="269"/>
      <c r="BB15" s="259">
        <v>1349.6274116045718</v>
      </c>
      <c r="BC15" s="260">
        <f t="shared" si="15"/>
        <v>1349.6274116045718</v>
      </c>
      <c r="BD15" s="260">
        <f t="shared" si="16"/>
        <v>25.233094984978834</v>
      </c>
      <c r="BE15" s="260">
        <f t="shared" si="85"/>
        <v>1349.6274116045718</v>
      </c>
      <c r="BF15" s="260">
        <f t="shared" si="86"/>
        <v>25.233094984978834</v>
      </c>
      <c r="BG15" s="270">
        <f t="shared" si="81"/>
        <v>0</v>
      </c>
      <c r="BH15" s="258"/>
      <c r="BI15" s="262">
        <f t="shared" si="71"/>
        <v>3.5847025000000001</v>
      </c>
      <c r="BJ15" s="259">
        <v>14338.81</v>
      </c>
      <c r="BK15" s="262">
        <v>0</v>
      </c>
      <c r="BL15" s="279">
        <v>65000</v>
      </c>
      <c r="BM15" s="279" t="s">
        <v>713</v>
      </c>
      <c r="BN15" s="258"/>
      <c r="BO15" s="260">
        <f t="shared" si="87"/>
        <v>53.486400000000003</v>
      </c>
      <c r="BP15" s="260">
        <f t="shared" si="88"/>
        <v>2.5442621606688807</v>
      </c>
      <c r="BQ15" s="263">
        <f t="shared" si="1"/>
        <v>2.84</v>
      </c>
      <c r="BR15" s="260">
        <f t="shared" si="17"/>
        <v>3</v>
      </c>
      <c r="BS15" s="265">
        <f t="shared" si="2"/>
        <v>3.3243195702892738E-3</v>
      </c>
      <c r="BT15" s="263">
        <f t="shared" si="3"/>
        <v>3.9407675868892582</v>
      </c>
      <c r="BU15" s="260">
        <f t="shared" si="4"/>
        <v>0</v>
      </c>
      <c r="BV15" s="258"/>
      <c r="BW15" s="315">
        <v>8</v>
      </c>
      <c r="BX15" s="138" t="s">
        <v>493</v>
      </c>
      <c r="BY15" s="316">
        <v>3</v>
      </c>
      <c r="BZ15" s="315">
        <v>20</v>
      </c>
      <c r="CA15" s="138" t="s">
        <v>498</v>
      </c>
      <c r="CB15" s="316">
        <v>3</v>
      </c>
      <c r="CC15" s="315">
        <v>20</v>
      </c>
      <c r="CD15" s="138" t="s">
        <v>489</v>
      </c>
      <c r="CE15" s="316">
        <v>3</v>
      </c>
      <c r="CF15" s="315">
        <v>2</v>
      </c>
      <c r="CG15" s="138" t="s">
        <v>504</v>
      </c>
      <c r="CH15" s="316">
        <v>3</v>
      </c>
      <c r="CI15" s="258"/>
      <c r="CJ15" s="312" t="str">
        <f t="shared" si="18"/>
        <v>intermediate complexity hydrodynamics</v>
      </c>
      <c r="CK15" s="313">
        <f t="shared" si="19"/>
        <v>2</v>
      </c>
      <c r="CL15" s="312" t="str">
        <f t="shared" si="20"/>
        <v>intermediate or complex water quality</v>
      </c>
      <c r="CM15" s="313">
        <f t="shared" si="21"/>
        <v>3</v>
      </c>
      <c r="CN15" s="312" t="str">
        <f t="shared" si="22"/>
        <v>shallow</v>
      </c>
      <c r="CO15" s="313">
        <f t="shared" si="23"/>
        <v>1</v>
      </c>
      <c r="CP15" s="312" t="str">
        <f t="shared" si="24"/>
        <v>mid-size</v>
      </c>
      <c r="CQ15" s="313">
        <f t="shared" si="25"/>
        <v>4</v>
      </c>
      <c r="CR15" s="312" t="str">
        <f t="shared" si="26"/>
        <v>very low</v>
      </c>
      <c r="CS15" s="313">
        <f t="shared" si="27"/>
        <v>1</v>
      </c>
      <c r="CT15" s="312" t="str">
        <f t="shared" si="28"/>
        <v>mouth</v>
      </c>
      <c r="CU15" s="313">
        <f t="shared" si="29"/>
        <v>4</v>
      </c>
      <c r="CV15" s="313">
        <f t="shared" si="30"/>
        <v>125</v>
      </c>
      <c r="CW15" s="313" t="str">
        <f t="shared" si="31"/>
        <v>intermediate complexity hydrodynamics</v>
      </c>
      <c r="CX15" s="313">
        <f t="shared" si="89"/>
        <v>86</v>
      </c>
      <c r="CY15" s="313" t="str">
        <f t="shared" si="32"/>
        <v>intermediate complexity water quality</v>
      </c>
      <c r="CZ15" s="273" t="s">
        <v>402</v>
      </c>
      <c r="DA15" s="272" t="str">
        <f t="shared" si="72"/>
        <v>-</v>
      </c>
      <c r="DB15" s="271" t="str">
        <f t="shared" si="33"/>
        <v>intermediate complexity hydrodynamics; intermediate complexity water quality</v>
      </c>
      <c r="DC15" s="274"/>
      <c r="DD15" s="475" t="str">
        <f t="shared" si="73"/>
        <v>Bebee Cove</v>
      </c>
      <c r="DE15" s="475">
        <f t="shared" si="74"/>
        <v>10</v>
      </c>
      <c r="DF15" s="464">
        <f t="shared" si="34"/>
        <v>1.74</v>
      </c>
      <c r="DG15" s="479">
        <f t="shared" si="35"/>
        <v>0.53</v>
      </c>
      <c r="DH15" s="464">
        <f t="shared" si="36"/>
        <v>1.17</v>
      </c>
      <c r="DI15" s="464">
        <f t="shared" si="37"/>
        <v>458.5</v>
      </c>
      <c r="DJ15" s="464">
        <f t="shared" si="38"/>
        <v>3</v>
      </c>
      <c r="DK15" s="464">
        <f t="shared" si="39"/>
        <v>1.2</v>
      </c>
      <c r="DL15" s="464">
        <f t="shared" si="40"/>
        <v>1</v>
      </c>
      <c r="DM15" s="464">
        <f t="shared" si="41"/>
        <v>2.8</v>
      </c>
      <c r="DN15" s="464">
        <f t="shared" si="42"/>
        <v>100</v>
      </c>
      <c r="DO15" s="464">
        <f t="shared" si="43"/>
        <v>400720</v>
      </c>
      <c r="DP15" s="464">
        <f t="shared" si="44"/>
        <v>468862</v>
      </c>
      <c r="DQ15" s="467">
        <f t="shared" si="45"/>
        <v>0.88</v>
      </c>
      <c r="DR15" s="464">
        <f t="shared" si="46"/>
        <v>3</v>
      </c>
      <c r="DS15" s="464">
        <f t="shared" si="47"/>
        <v>3117</v>
      </c>
      <c r="DT15" s="464">
        <f t="shared" si="48"/>
        <v>128.5</v>
      </c>
      <c r="DU15" s="464">
        <f t="shared" si="49"/>
        <v>0.9</v>
      </c>
      <c r="DV15" s="464">
        <f t="shared" si="50"/>
        <v>3.58</v>
      </c>
      <c r="DW15" s="464">
        <f t="shared" si="51"/>
        <v>0</v>
      </c>
      <c r="DX15" s="464">
        <f t="shared" si="52"/>
        <v>100</v>
      </c>
      <c r="DY15" s="464">
        <f t="shared" si="53"/>
        <v>88</v>
      </c>
      <c r="DZ15" s="464">
        <f t="shared" si="54"/>
        <v>75</v>
      </c>
      <c r="EA15" s="464">
        <f t="shared" si="55"/>
        <v>1350</v>
      </c>
      <c r="EB15" s="464">
        <f t="shared" si="56"/>
        <v>25</v>
      </c>
      <c r="EC15" s="464">
        <f t="shared" si="57"/>
        <v>0</v>
      </c>
      <c r="ED15" s="464">
        <f t="shared" si="58"/>
        <v>3.32E-3</v>
      </c>
      <c r="EE15" s="464">
        <f t="shared" si="59"/>
        <v>3.94</v>
      </c>
      <c r="EF15" s="275">
        <f t="shared" si="75"/>
        <v>1.44</v>
      </c>
      <c r="EG15" s="275" t="str">
        <f t="shared" si="76"/>
        <v>not mapped in 2017, but field verified by another source</v>
      </c>
      <c r="EH15" s="275">
        <f t="shared" si="77"/>
        <v>4</v>
      </c>
      <c r="EI15" s="275">
        <f t="shared" si="78"/>
        <v>1.65</v>
      </c>
      <c r="EJ15" s="275">
        <f t="shared" si="79"/>
        <v>1.31</v>
      </c>
    </row>
    <row r="16" spans="1:140" ht="44" customHeight="1" x14ac:dyDescent="0.35">
      <c r="A16" s="388">
        <v>10.5</v>
      </c>
      <c r="B16" s="215" t="s">
        <v>520</v>
      </c>
      <c r="C16" s="219" t="s">
        <v>508</v>
      </c>
      <c r="D16" s="196"/>
      <c r="E16" s="221"/>
      <c r="F16" s="197">
        <f>SUM(F13:F15)</f>
        <v>1764018</v>
      </c>
      <c r="G16" s="197">
        <f>G14*2</f>
        <v>10263.24</v>
      </c>
      <c r="H16" s="241">
        <f t="shared" si="60"/>
        <v>171.87730190466169</v>
      </c>
      <c r="I16" s="241">
        <f t="shared" si="61"/>
        <v>59.712596638809806</v>
      </c>
      <c r="J16" s="452">
        <f>SUM(J14*($F14/$F16),J15*($F15/$F16),J13*($F13/$F16))</f>
        <v>1</v>
      </c>
      <c r="K16" s="242">
        <f>SUM(K14*($F14/$F16),K15*($F15/$F16),K13*($F13/$F16))</f>
        <v>1.2313700880603258</v>
      </c>
      <c r="L16" s="242">
        <f>SUM(L14*($F14/$F16),L15*($F15/$F16),L13*($F13/$F16))</f>
        <v>0.9337150187809875</v>
      </c>
      <c r="M16" s="242">
        <f>MAX(M13:M15)</f>
        <v>3.15</v>
      </c>
      <c r="N16" s="241">
        <f t="shared" si="91"/>
        <v>1384172.1475405067</v>
      </c>
      <c r="O16" s="221"/>
      <c r="P16" s="241"/>
      <c r="Q16" s="457">
        <f>SUM(P13:P15)</f>
        <v>129985.62696348938</v>
      </c>
      <c r="R16" s="242">
        <f>R14</f>
        <v>0.89340001344599995</v>
      </c>
      <c r="S16" s="213">
        <f>S14</f>
        <v>0.44670000672299998</v>
      </c>
      <c r="T16" s="241">
        <f t="shared" si="6"/>
        <v>1575973.704918986</v>
      </c>
      <c r="U16" s="197">
        <v>2</v>
      </c>
      <c r="V16" s="243">
        <f t="shared" si="7"/>
        <v>4.7466246807809993</v>
      </c>
      <c r="W16" s="243">
        <f t="shared" si="8"/>
        <v>15.522767624159998</v>
      </c>
      <c r="X16" s="241">
        <f t="shared" si="64"/>
        <v>3151947.4098379719</v>
      </c>
      <c r="Y16" s="242">
        <f t="shared" si="9"/>
        <v>0.87829647361512353</v>
      </c>
      <c r="Z16" s="243">
        <f t="shared" si="10"/>
        <v>10.648655392717348</v>
      </c>
      <c r="AA16" s="243">
        <f t="shared" si="11"/>
        <v>4.1239782922067023E-2</v>
      </c>
      <c r="AB16" s="245">
        <f t="shared" si="12"/>
        <v>3.1675986529362002E-2</v>
      </c>
      <c r="AC16" s="245">
        <f t="shared" si="65"/>
        <v>2.5603098339308086</v>
      </c>
      <c r="AD16" s="245">
        <f t="shared" si="13"/>
        <v>1.1385677046885285</v>
      </c>
      <c r="AE16" s="245">
        <f t="shared" si="14"/>
        <v>4.2671719829083243E-2</v>
      </c>
      <c r="AF16" s="221"/>
      <c r="AG16" s="211">
        <f>AG14</f>
        <v>-71.970247000000001</v>
      </c>
      <c r="AH16" s="242">
        <f>AH14</f>
        <v>1.0596814778070656</v>
      </c>
      <c r="AI16" s="242">
        <f>AI14</f>
        <v>1.1324157542918589</v>
      </c>
      <c r="AJ16" s="242">
        <f>AJ14</f>
        <v>4.0666779568674158</v>
      </c>
      <c r="AK16" s="242">
        <f>AK14</f>
        <v>1.6752857576343239</v>
      </c>
      <c r="AL16" s="242">
        <f t="shared" si="69"/>
        <v>1.3370775944181517</v>
      </c>
      <c r="AM16" s="242">
        <f>SUM(AM14*($F14/$F16),AM15*($F15/$F16),AM13*($F13/$F16))</f>
        <v>0.44414654924850472</v>
      </c>
      <c r="AN16" s="452">
        <f>SUM(AN14*($F14/$F16),AN15*($F15/$F16),AN13*($F13/$F16))</f>
        <v>1</v>
      </c>
      <c r="AO16" s="452">
        <f>SUM(AO14*($F14/$F16),AO15*($F15/$F16),AO13*($F13/$F16))</f>
        <v>0.82925457676735725</v>
      </c>
      <c r="AP16" s="452">
        <f>SUM(AP14*($F14/$F16),AP15*($F15/$F16),AP13*($F13/$F16))</f>
        <v>0.63929629213912009</v>
      </c>
      <c r="AQ16" s="483">
        <f t="shared" si="70"/>
        <v>1.446700006723</v>
      </c>
      <c r="AR16" s="247" t="str">
        <f t="shared" si="84"/>
        <v>currently present, field verified</v>
      </c>
      <c r="AS16" s="221"/>
      <c r="AT16" s="241">
        <f t="shared" ref="AT16:AZ16" si="93">AT15+AT14+AT13</f>
        <v>75223363</v>
      </c>
      <c r="AU16" s="241">
        <f t="shared" si="93"/>
        <v>8029.7123800000008</v>
      </c>
      <c r="AV16" s="241">
        <f t="shared" si="93"/>
        <v>9602.5426399999997</v>
      </c>
      <c r="AW16" s="241">
        <f t="shared" si="93"/>
        <v>10548.868958986919</v>
      </c>
      <c r="AX16" s="241">
        <f t="shared" si="93"/>
        <v>11343.919466692943</v>
      </c>
      <c r="AY16" s="241">
        <f t="shared" si="93"/>
        <v>5038.2948666769262</v>
      </c>
      <c r="AZ16" s="241">
        <f t="shared" si="93"/>
        <v>1411.2144000000001</v>
      </c>
      <c r="BA16" s="214"/>
      <c r="BB16" s="241">
        <f>BB15+BB14+BB13</f>
        <v>36372.010072356788</v>
      </c>
      <c r="BC16" s="241">
        <f>SUM(BC13:BC15)</f>
        <v>37944.840332356791</v>
      </c>
      <c r="BD16" s="241">
        <f t="shared" si="16"/>
        <v>215.10460966020068</v>
      </c>
      <c r="BE16" s="457">
        <f t="shared" si="85"/>
        <v>37944.840332356791</v>
      </c>
      <c r="BF16" s="457">
        <f>BD16</f>
        <v>215.10460966020068</v>
      </c>
      <c r="BG16" s="248">
        <f t="shared" si="81"/>
        <v>25.306583334893102</v>
      </c>
      <c r="BH16" s="221"/>
      <c r="BI16" s="242">
        <f t="shared" si="71"/>
        <v>64.8711275</v>
      </c>
      <c r="BJ16" s="241">
        <f>BJ13+BJ15+BJ14</f>
        <v>259484.50999999998</v>
      </c>
      <c r="BK16" s="242">
        <f>BK13+BK15+BK14</f>
        <v>0</v>
      </c>
      <c r="BL16" s="241">
        <f>BL13+BL15+BL14</f>
        <v>65000</v>
      </c>
      <c r="BM16" s="197" t="s">
        <v>551</v>
      </c>
      <c r="BN16" s="221"/>
      <c r="BO16" s="241">
        <f t="shared" si="87"/>
        <v>176.40180000000001</v>
      </c>
      <c r="BP16" s="241">
        <f t="shared" si="88"/>
        <v>59.712596638809806</v>
      </c>
      <c r="BQ16" s="242">
        <f t="shared" si="1"/>
        <v>3.15</v>
      </c>
      <c r="BR16" s="241">
        <f t="shared" si="17"/>
        <v>2</v>
      </c>
      <c r="BS16" s="244">
        <f t="shared" si="2"/>
        <v>4.1239782922067023E-2</v>
      </c>
      <c r="BT16" s="242">
        <f t="shared" si="3"/>
        <v>2.5603098339308086</v>
      </c>
      <c r="BU16" s="241">
        <f t="shared" si="4"/>
        <v>25.306583334893102</v>
      </c>
      <c r="BV16" s="221"/>
      <c r="BW16" s="315">
        <v>20</v>
      </c>
      <c r="BX16" s="138" t="s">
        <v>507</v>
      </c>
      <c r="BY16" s="316">
        <v>4</v>
      </c>
      <c r="BZ16" s="315">
        <v>41</v>
      </c>
      <c r="CA16" s="138" t="s">
        <v>501</v>
      </c>
      <c r="CB16" s="316">
        <v>4</v>
      </c>
      <c r="CC16" s="315">
        <v>40</v>
      </c>
      <c r="CD16" s="138" t="s">
        <v>490</v>
      </c>
      <c r="CE16" s="316">
        <v>4</v>
      </c>
      <c r="CF16" s="315">
        <v>3</v>
      </c>
      <c r="CG16" s="138" t="s">
        <v>505</v>
      </c>
      <c r="CH16" s="316">
        <v>4</v>
      </c>
      <c r="CI16" s="221"/>
      <c r="CJ16" s="303" t="str">
        <f t="shared" si="18"/>
        <v>intermediate complexity hydrodynamics</v>
      </c>
      <c r="CK16" s="304">
        <f t="shared" si="19"/>
        <v>2</v>
      </c>
      <c r="CL16" s="303" t="str">
        <f t="shared" si="20"/>
        <v>intermediate or complex water quality</v>
      </c>
      <c r="CM16" s="304">
        <f t="shared" si="21"/>
        <v>3</v>
      </c>
      <c r="CN16" s="303" t="str">
        <f t="shared" si="22"/>
        <v>shallow</v>
      </c>
      <c r="CO16" s="304">
        <f t="shared" si="23"/>
        <v>1</v>
      </c>
      <c r="CP16" s="303" t="str">
        <f t="shared" si="24"/>
        <v>mid-size</v>
      </c>
      <c r="CQ16" s="304">
        <f t="shared" si="25"/>
        <v>4</v>
      </c>
      <c r="CR16" s="303" t="str">
        <f t="shared" si="26"/>
        <v>high</v>
      </c>
      <c r="CS16" s="304">
        <f t="shared" si="27"/>
        <v>4</v>
      </c>
      <c r="CT16" s="303" t="str">
        <f t="shared" si="28"/>
        <v>mid-estuary</v>
      </c>
      <c r="CU16" s="304">
        <f t="shared" si="29"/>
        <v>3</v>
      </c>
      <c r="CV16" s="304">
        <f t="shared" si="30"/>
        <v>127</v>
      </c>
      <c r="CW16" s="304" t="str">
        <f t="shared" si="31"/>
        <v>intermediate complexity hydrodynamics</v>
      </c>
      <c r="CX16" s="304">
        <f t="shared" si="89"/>
        <v>88</v>
      </c>
      <c r="CY16" s="304" t="str">
        <f t="shared" si="32"/>
        <v>intermediate complexity water quality</v>
      </c>
      <c r="CZ16" s="216" t="s">
        <v>402</v>
      </c>
      <c r="DA16" s="252" t="str">
        <f t="shared" si="72"/>
        <v>WASP</v>
      </c>
      <c r="DB16" s="251" t="str">
        <f t="shared" si="33"/>
        <v>intermediate complexity hydrodynamics; intermediate complexity water quality (WASP)</v>
      </c>
      <c r="DC16" s="227"/>
      <c r="DD16" s="475" t="str">
        <f t="shared" si="73"/>
        <v>Mystic R. + Williams C. + Beebe C.</v>
      </c>
      <c r="DE16" s="475" t="str">
        <f t="shared" si="74"/>
        <v xml:space="preserve"> 8-9-10</v>
      </c>
      <c r="DF16" s="477">
        <f t="shared" si="34"/>
        <v>75.22</v>
      </c>
      <c r="DG16" s="478">
        <f t="shared" si="35"/>
        <v>1.76</v>
      </c>
      <c r="DH16" s="477">
        <f t="shared" si="36"/>
        <v>10.26</v>
      </c>
      <c r="DI16" s="477">
        <f t="shared" si="37"/>
        <v>171.9</v>
      </c>
      <c r="DJ16" s="477">
        <f t="shared" si="38"/>
        <v>60</v>
      </c>
      <c r="DK16" s="477">
        <f t="shared" si="39"/>
        <v>1.2</v>
      </c>
      <c r="DL16" s="477">
        <f t="shared" si="40"/>
        <v>0.9</v>
      </c>
      <c r="DM16" s="477">
        <f t="shared" si="41"/>
        <v>3.2</v>
      </c>
      <c r="DN16" s="477">
        <f t="shared" si="42"/>
        <v>100</v>
      </c>
      <c r="DO16" s="477">
        <f t="shared" si="43"/>
        <v>1384172</v>
      </c>
      <c r="DP16" s="477">
        <f t="shared" si="44"/>
        <v>1575974</v>
      </c>
      <c r="DQ16" s="467">
        <f t="shared" si="45"/>
        <v>0.89</v>
      </c>
      <c r="DR16" s="467">
        <f t="shared" si="46"/>
        <v>2</v>
      </c>
      <c r="DS16" s="467">
        <f t="shared" si="47"/>
        <v>129986</v>
      </c>
      <c r="DT16" s="467">
        <f t="shared" si="48"/>
        <v>10.6</v>
      </c>
      <c r="DU16" s="467">
        <f t="shared" si="49"/>
        <v>0.9</v>
      </c>
      <c r="DV16" s="467">
        <f t="shared" si="50"/>
        <v>64.87</v>
      </c>
      <c r="DW16" s="467">
        <f t="shared" si="51"/>
        <v>0</v>
      </c>
      <c r="DX16" s="467">
        <f t="shared" si="52"/>
        <v>100</v>
      </c>
      <c r="DY16" s="467">
        <f t="shared" si="53"/>
        <v>83</v>
      </c>
      <c r="DZ16" s="467">
        <f t="shared" si="54"/>
        <v>64</v>
      </c>
      <c r="EA16" s="467">
        <f t="shared" si="55"/>
        <v>37945</v>
      </c>
      <c r="EB16" s="467">
        <f t="shared" si="56"/>
        <v>215</v>
      </c>
      <c r="EC16" s="467">
        <f t="shared" si="57"/>
        <v>25</v>
      </c>
      <c r="ED16" s="467">
        <f t="shared" si="58"/>
        <v>4.1239999999999999E-2</v>
      </c>
      <c r="EE16" s="467">
        <f t="shared" si="59"/>
        <v>2.56</v>
      </c>
      <c r="EF16" s="138">
        <f t="shared" si="75"/>
        <v>1.45</v>
      </c>
      <c r="EG16" s="138" t="str">
        <f t="shared" si="76"/>
        <v>currently present, field verified</v>
      </c>
      <c r="EH16" s="138">
        <f t="shared" si="77"/>
        <v>4.07</v>
      </c>
      <c r="EI16" s="138">
        <f t="shared" si="78"/>
        <v>1.68</v>
      </c>
      <c r="EJ16" s="138">
        <f t="shared" si="79"/>
        <v>1.34</v>
      </c>
    </row>
    <row r="17" spans="1:140" ht="44" customHeight="1" x14ac:dyDescent="0.35">
      <c r="A17" s="388">
        <v>11</v>
      </c>
      <c r="B17" s="215" t="s">
        <v>414</v>
      </c>
      <c r="C17" s="210">
        <v>11</v>
      </c>
      <c r="D17" s="196"/>
      <c r="E17" s="221"/>
      <c r="F17" s="197">
        <v>166047</v>
      </c>
      <c r="G17" s="197">
        <v>660.03549999999996</v>
      </c>
      <c r="H17" s="241">
        <f t="shared" si="60"/>
        <v>251.57283206736608</v>
      </c>
      <c r="I17" s="241">
        <f t="shared" si="61"/>
        <v>2.6236358456355728</v>
      </c>
      <c r="J17" s="212">
        <v>1</v>
      </c>
      <c r="K17" s="213">
        <v>2.1</v>
      </c>
      <c r="L17" s="213">
        <v>2.15</v>
      </c>
      <c r="M17" s="213">
        <v>2.2400000000000002</v>
      </c>
      <c r="N17" s="241">
        <f t="shared" si="91"/>
        <v>275804.06525816699</v>
      </c>
      <c r="O17" s="221"/>
      <c r="P17" s="241">
        <f t="shared" si="62"/>
        <v>458.39975652723939</v>
      </c>
      <c r="Q17" s="241">
        <f t="shared" si="80"/>
        <v>458.39975652723939</v>
      </c>
      <c r="R17" s="242">
        <f t="shared" si="63"/>
        <v>0.87800002097999996</v>
      </c>
      <c r="S17" s="213">
        <v>0.43900001048999998</v>
      </c>
      <c r="T17" s="241">
        <f t="shared" si="6"/>
        <v>145789.26948366605</v>
      </c>
      <c r="U17" s="197">
        <v>0</v>
      </c>
      <c r="V17" s="243">
        <f t="shared" si="7"/>
        <v>0.60404714828421346</v>
      </c>
      <c r="W17" s="243">
        <f t="shared" si="8"/>
        <v>1.8868760701883822</v>
      </c>
      <c r="X17" s="241">
        <f t="shared" si="64"/>
        <v>291578.5389673321</v>
      </c>
      <c r="Y17" s="242">
        <f t="shared" si="9"/>
        <v>1.8917994872665682</v>
      </c>
      <c r="Z17" s="243">
        <f t="shared" si="10"/>
        <v>601.66712859451081</v>
      </c>
      <c r="AA17" s="243">
        <f t="shared" si="11"/>
        <v>1.5721313308953702E-3</v>
      </c>
      <c r="AB17" s="245">
        <f t="shared" si="12"/>
        <v>2.2609196923664954E-3</v>
      </c>
      <c r="AC17" s="245">
        <f t="shared" si="65"/>
        <v>4.7937464424570733</v>
      </c>
      <c r="AD17" s="245">
        <f t="shared" si="13"/>
        <v>0.52859724655327212</v>
      </c>
      <c r="AE17" s="245">
        <f t="shared" si="14"/>
        <v>1.6267192243292373E-3</v>
      </c>
      <c r="AF17" s="221"/>
      <c r="AG17" s="211">
        <v>-71.994487000000007</v>
      </c>
      <c r="AH17" s="242">
        <f t="shared" si="92"/>
        <v>1.0416187008898996</v>
      </c>
      <c r="AI17" s="242">
        <f t="shared" si="66"/>
        <v>1.1520530487545859</v>
      </c>
      <c r="AJ17" s="242">
        <f t="shared" si="67"/>
        <v>3.997359488754844</v>
      </c>
      <c r="AK17" s="242">
        <f t="shared" si="68"/>
        <v>1.6467297117409148</v>
      </c>
      <c r="AL17" s="242">
        <f t="shared" si="69"/>
        <v>1.3142864682026634</v>
      </c>
      <c r="AM17" s="213">
        <v>0.43900001048999998</v>
      </c>
      <c r="AN17" s="212">
        <v>1</v>
      </c>
      <c r="AO17" s="212">
        <v>0</v>
      </c>
      <c r="AP17" s="212">
        <v>0</v>
      </c>
      <c r="AQ17" s="484">
        <f t="shared" si="70"/>
        <v>1.43900001049</v>
      </c>
      <c r="AR17" s="247" t="str">
        <f t="shared" si="84"/>
        <v>possible if water clarity improves</v>
      </c>
      <c r="AS17" s="221"/>
      <c r="AT17" s="197">
        <v>251578.8</v>
      </c>
      <c r="AU17" s="197">
        <v>0</v>
      </c>
      <c r="AV17" s="197">
        <v>0</v>
      </c>
      <c r="AW17" s="197">
        <v>19.809317829950444</v>
      </c>
      <c r="AX17" s="197">
        <v>39.745780136796519</v>
      </c>
      <c r="AY17" s="197">
        <v>48.606605998861447</v>
      </c>
      <c r="AZ17" s="197">
        <v>132.83760000000001</v>
      </c>
      <c r="BA17" s="214"/>
      <c r="BB17" s="197">
        <v>240.99930396560842</v>
      </c>
      <c r="BC17" s="241">
        <f t="shared" ref="BC17:BC22" si="94">BB17-AU17+AV17</f>
        <v>240.99930396560842</v>
      </c>
      <c r="BD17" s="241">
        <f t="shared" si="16"/>
        <v>14.513920996200378</v>
      </c>
      <c r="BE17" s="241">
        <f t="shared" si="85"/>
        <v>240.99930396560842</v>
      </c>
      <c r="BF17" s="241">
        <f t="shared" si="86"/>
        <v>14.513920996200378</v>
      </c>
      <c r="BG17" s="248">
        <f t="shared" si="81"/>
        <v>0</v>
      </c>
      <c r="BH17" s="221"/>
      <c r="BI17" s="213">
        <f t="shared" si="71"/>
        <v>0</v>
      </c>
      <c r="BJ17" s="197">
        <v>0</v>
      </c>
      <c r="BK17" s="213">
        <v>0</v>
      </c>
      <c r="BL17" s="217">
        <v>0</v>
      </c>
      <c r="BM17" s="217" t="s">
        <v>549</v>
      </c>
      <c r="BN17" s="221"/>
      <c r="BO17" s="241">
        <f t="shared" si="87"/>
        <v>16.604700000000001</v>
      </c>
      <c r="BP17" s="241">
        <f t="shared" si="88"/>
        <v>2.6236358456355728</v>
      </c>
      <c r="BQ17" s="242">
        <f t="shared" si="1"/>
        <v>2.2400000000000002</v>
      </c>
      <c r="BR17" s="241">
        <f t="shared" si="17"/>
        <v>0</v>
      </c>
      <c r="BS17" s="244">
        <f t="shared" si="2"/>
        <v>1.5721313308953702E-3</v>
      </c>
      <c r="BT17" s="242">
        <f t="shared" si="3"/>
        <v>4.7937464424570733</v>
      </c>
      <c r="BU17" s="241">
        <f t="shared" si="4"/>
        <v>0</v>
      </c>
      <c r="BV17" s="221"/>
      <c r="BW17" s="315"/>
      <c r="BY17" s="316"/>
      <c r="BZ17" s="315">
        <v>1000</v>
      </c>
      <c r="CA17" s="138" t="s">
        <v>499</v>
      </c>
      <c r="CB17" s="316">
        <v>5</v>
      </c>
      <c r="CC17" s="315">
        <v>60</v>
      </c>
      <c r="CD17" s="138" t="s">
        <v>491</v>
      </c>
      <c r="CE17" s="316">
        <v>5</v>
      </c>
      <c r="CF17" s="315">
        <v>4</v>
      </c>
      <c r="CG17" s="138" t="s">
        <v>506</v>
      </c>
      <c r="CH17" s="316">
        <v>5</v>
      </c>
      <c r="CI17" s="221"/>
      <c r="CJ17" s="303" t="str">
        <f t="shared" si="18"/>
        <v>simple complexity hydrodynamics</v>
      </c>
      <c r="CK17" s="304">
        <f t="shared" si="19"/>
        <v>1</v>
      </c>
      <c r="CL17" s="303" t="str">
        <f t="shared" si="20"/>
        <v>intermediate or complex water quality</v>
      </c>
      <c r="CM17" s="304">
        <f t="shared" si="21"/>
        <v>3</v>
      </c>
      <c r="CN17" s="303" t="str">
        <f t="shared" si="22"/>
        <v>shallow</v>
      </c>
      <c r="CO17" s="304">
        <f t="shared" si="23"/>
        <v>1</v>
      </c>
      <c r="CP17" s="303" t="str">
        <f t="shared" si="24"/>
        <v>very small</v>
      </c>
      <c r="CQ17" s="304">
        <f t="shared" si="25"/>
        <v>2</v>
      </c>
      <c r="CR17" s="303" t="str">
        <f t="shared" si="26"/>
        <v>very low</v>
      </c>
      <c r="CS17" s="304">
        <f t="shared" si="27"/>
        <v>1</v>
      </c>
      <c r="CT17" s="303" t="str">
        <f t="shared" si="28"/>
        <v>none</v>
      </c>
      <c r="CU17" s="304">
        <f t="shared" si="29"/>
        <v>1</v>
      </c>
      <c r="CV17" s="304">
        <f t="shared" si="30"/>
        <v>82</v>
      </c>
      <c r="CW17" s="304" t="str">
        <f t="shared" si="31"/>
        <v>simple complexity hydrodynamics</v>
      </c>
      <c r="CX17" s="304">
        <f t="shared" si="89"/>
        <v>75</v>
      </c>
      <c r="CY17" s="304" t="str">
        <f t="shared" si="32"/>
        <v>intermediate complexity water quality</v>
      </c>
      <c r="CZ17" s="216" t="s">
        <v>402</v>
      </c>
      <c r="DA17" s="252" t="str">
        <f t="shared" si="72"/>
        <v>-</v>
      </c>
      <c r="DB17" s="251" t="str">
        <f t="shared" si="33"/>
        <v>simple complexity hydrodynamics; intermediate complexity water quality</v>
      </c>
      <c r="DC17" s="227"/>
      <c r="DD17" s="475" t="str">
        <f t="shared" si="73"/>
        <v>West Cove</v>
      </c>
      <c r="DE17" s="475">
        <f t="shared" si="74"/>
        <v>11</v>
      </c>
      <c r="DF17" s="465">
        <f t="shared" si="34"/>
        <v>0.25</v>
      </c>
      <c r="DG17" s="466">
        <f t="shared" si="35"/>
        <v>0.17</v>
      </c>
      <c r="DH17" s="465">
        <f t="shared" si="36"/>
        <v>0.66</v>
      </c>
      <c r="DI17" s="465">
        <f t="shared" si="37"/>
        <v>251.6</v>
      </c>
      <c r="DJ17" s="465">
        <f t="shared" si="38"/>
        <v>3</v>
      </c>
      <c r="DK17" s="465">
        <f t="shared" si="39"/>
        <v>2.1</v>
      </c>
      <c r="DL17" s="465">
        <f t="shared" si="40"/>
        <v>2.2000000000000002</v>
      </c>
      <c r="DM17" s="465">
        <f t="shared" si="41"/>
        <v>2.2000000000000002</v>
      </c>
      <c r="DN17" s="465">
        <f t="shared" si="42"/>
        <v>100</v>
      </c>
      <c r="DO17" s="465">
        <f t="shared" si="43"/>
        <v>275804</v>
      </c>
      <c r="DP17" s="465">
        <f t="shared" si="44"/>
        <v>145789</v>
      </c>
      <c r="DQ17" s="467">
        <f t="shared" si="45"/>
        <v>0.88</v>
      </c>
      <c r="DR17" s="467">
        <f t="shared" si="46"/>
        <v>0</v>
      </c>
      <c r="DS17" s="467">
        <f t="shared" si="47"/>
        <v>458</v>
      </c>
      <c r="DT17" s="467">
        <f t="shared" si="48"/>
        <v>601.70000000000005</v>
      </c>
      <c r="DU17" s="467">
        <f t="shared" si="49"/>
        <v>1.9</v>
      </c>
      <c r="DV17" s="467">
        <f t="shared" si="50"/>
        <v>0</v>
      </c>
      <c r="DW17" s="467">
        <f t="shared" si="51"/>
        <v>0</v>
      </c>
      <c r="DX17" s="467">
        <f t="shared" si="52"/>
        <v>100</v>
      </c>
      <c r="DY17" s="467">
        <f t="shared" si="53"/>
        <v>0</v>
      </c>
      <c r="DZ17" s="467">
        <f t="shared" si="54"/>
        <v>0</v>
      </c>
      <c r="EA17" s="467">
        <f t="shared" si="55"/>
        <v>241</v>
      </c>
      <c r="EB17" s="467">
        <f t="shared" si="56"/>
        <v>15</v>
      </c>
      <c r="EC17" s="467">
        <f t="shared" si="57"/>
        <v>0</v>
      </c>
      <c r="ED17" s="467">
        <f t="shared" si="58"/>
        <v>1.57E-3</v>
      </c>
      <c r="EE17" s="467">
        <f t="shared" si="59"/>
        <v>4.79</v>
      </c>
      <c r="EF17" s="138">
        <f t="shared" si="75"/>
        <v>1.44</v>
      </c>
      <c r="EG17" s="138" t="str">
        <f t="shared" si="76"/>
        <v>possible if water clarity improves</v>
      </c>
      <c r="EH17" s="138">
        <f t="shared" si="77"/>
        <v>4</v>
      </c>
      <c r="EI17" s="138">
        <f t="shared" si="78"/>
        <v>1.65</v>
      </c>
      <c r="EJ17" s="138">
        <f t="shared" si="79"/>
        <v>1.31</v>
      </c>
    </row>
    <row r="18" spans="1:140" ht="44" customHeight="1" thickBot="1" x14ac:dyDescent="0.4">
      <c r="A18" s="388">
        <v>12</v>
      </c>
      <c r="B18" s="215" t="s">
        <v>415</v>
      </c>
      <c r="C18" s="210">
        <v>12</v>
      </c>
      <c r="D18" s="196"/>
      <c r="E18" s="221"/>
      <c r="F18" s="197">
        <v>599547</v>
      </c>
      <c r="G18" s="197">
        <v>2071.732</v>
      </c>
      <c r="H18" s="241">
        <f t="shared" si="60"/>
        <v>289.39409151376725</v>
      </c>
      <c r="I18" s="241">
        <f t="shared" si="61"/>
        <v>7.1588607395650374</v>
      </c>
      <c r="J18" s="212">
        <v>0.44122979516201399</v>
      </c>
      <c r="K18" s="213">
        <v>0.78880579079629398</v>
      </c>
      <c r="L18" s="213">
        <v>0.65</v>
      </c>
      <c r="M18" s="213">
        <v>2.2400000000000002</v>
      </c>
      <c r="N18" s="241">
        <f t="shared" si="91"/>
        <v>207986.31723508495</v>
      </c>
      <c r="O18" s="221"/>
      <c r="P18" s="241">
        <f t="shared" si="62"/>
        <v>17095.140746477602</v>
      </c>
      <c r="Q18" s="241">
        <f t="shared" si="80"/>
        <v>17095.140746477602</v>
      </c>
      <c r="R18" s="242">
        <f t="shared" si="63"/>
        <v>0.88380002975399996</v>
      </c>
      <c r="S18" s="213">
        <v>0.44190001487699998</v>
      </c>
      <c r="T18" s="241">
        <f t="shared" si="6"/>
        <v>529879.65643892146</v>
      </c>
      <c r="U18" s="197">
        <v>4</v>
      </c>
      <c r="V18" s="243">
        <f t="shared" si="7"/>
        <v>1.7691233478006396</v>
      </c>
      <c r="W18" s="243">
        <f t="shared" si="8"/>
        <v>5.5458337157608675</v>
      </c>
      <c r="X18" s="241">
        <f t="shared" si="64"/>
        <v>1059759.3128778429</v>
      </c>
      <c r="Y18" s="242">
        <f t="shared" si="9"/>
        <v>0.39251613967002574</v>
      </c>
      <c r="Z18" s="243">
        <f t="shared" si="10"/>
        <v>12.166399816154765</v>
      </c>
      <c r="AA18" s="243">
        <f t="shared" si="11"/>
        <v>1.6131154063704026E-2</v>
      </c>
      <c r="AB18" s="245">
        <f t="shared" si="12"/>
        <v>1.2544717055074499E-2</v>
      </c>
      <c r="AC18" s="245">
        <f t="shared" si="65"/>
        <v>2.5922338446325206</v>
      </c>
      <c r="AD18" s="245">
        <f t="shared" si="13"/>
        <v>2.5476659401589554</v>
      </c>
      <c r="AE18" s="245">
        <f t="shared" si="14"/>
        <v>1.6691263579804858E-2</v>
      </c>
      <c r="AF18" s="221"/>
      <c r="AG18" s="211">
        <v>-71.997957</v>
      </c>
      <c r="AH18" s="242">
        <f t="shared" si="92"/>
        <v>1.0414088976321474</v>
      </c>
      <c r="AI18" s="242">
        <f t="shared" si="66"/>
        <v>1.1522851424915241</v>
      </c>
      <c r="AJ18" s="242">
        <f t="shared" si="67"/>
        <v>3.9965543389985738</v>
      </c>
      <c r="AK18" s="242">
        <f t="shared" si="68"/>
        <v>1.6463980267799347</v>
      </c>
      <c r="AL18" s="242">
        <f t="shared" si="69"/>
        <v>1.3140217440935311</v>
      </c>
      <c r="AM18" s="213">
        <v>0.44190001487699998</v>
      </c>
      <c r="AN18" s="212">
        <v>1.00000166792595</v>
      </c>
      <c r="AO18" s="212">
        <v>0.97994576814585899</v>
      </c>
      <c r="AP18" s="212">
        <v>0.799442670125035</v>
      </c>
      <c r="AQ18" s="484">
        <f t="shared" si="70"/>
        <v>1.441900014877</v>
      </c>
      <c r="AR18" s="247" t="str">
        <f t="shared" si="84"/>
        <v>marginally possible now</v>
      </c>
      <c r="AS18" s="221"/>
      <c r="AT18" s="197">
        <v>9731446</v>
      </c>
      <c r="AU18" s="197">
        <v>0</v>
      </c>
      <c r="AV18" s="197">
        <v>0</v>
      </c>
      <c r="AW18" s="197">
        <v>2083.561270661311</v>
      </c>
      <c r="AX18" s="197">
        <v>1410.1733484359202</v>
      </c>
      <c r="AY18" s="197">
        <v>957.35234793085772</v>
      </c>
      <c r="AZ18" s="197">
        <v>479.63760000000002</v>
      </c>
      <c r="BA18" s="214"/>
      <c r="BB18" s="197">
        <v>4930.724567028089</v>
      </c>
      <c r="BC18" s="241">
        <f t="shared" si="94"/>
        <v>4930.724567028089</v>
      </c>
      <c r="BD18" s="241">
        <f t="shared" si="16"/>
        <v>82.240834613934993</v>
      </c>
      <c r="BE18" s="241">
        <f t="shared" si="85"/>
        <v>4930.724567028089</v>
      </c>
      <c r="BF18" s="241">
        <f t="shared" si="86"/>
        <v>82.240834613934993</v>
      </c>
      <c r="BG18" s="248">
        <f t="shared" si="81"/>
        <v>0</v>
      </c>
      <c r="BH18" s="221"/>
      <c r="BI18" s="213">
        <f t="shared" si="71"/>
        <v>19.456970000000002</v>
      </c>
      <c r="BJ18" s="197">
        <v>77827.88</v>
      </c>
      <c r="BK18" s="213">
        <v>0</v>
      </c>
      <c r="BL18" s="197">
        <f t="shared" si="82"/>
        <v>0</v>
      </c>
      <c r="BM18" s="197" t="s">
        <v>549</v>
      </c>
      <c r="BN18" s="221"/>
      <c r="BO18" s="241">
        <f t="shared" si="87"/>
        <v>59.954700000000003</v>
      </c>
      <c r="BP18" s="241">
        <f t="shared" si="88"/>
        <v>7.1588607395650374</v>
      </c>
      <c r="BQ18" s="242">
        <f t="shared" si="1"/>
        <v>2.2400000000000002</v>
      </c>
      <c r="BR18" s="241">
        <f t="shared" si="17"/>
        <v>4</v>
      </c>
      <c r="BS18" s="244">
        <f t="shared" si="2"/>
        <v>1.6131154063704026E-2</v>
      </c>
      <c r="BT18" s="242">
        <f t="shared" si="3"/>
        <v>2.5922338446325206</v>
      </c>
      <c r="BU18" s="241">
        <f t="shared" si="4"/>
        <v>0</v>
      </c>
      <c r="BV18" s="221"/>
      <c r="BW18" s="317"/>
      <c r="BX18" s="318"/>
      <c r="BY18" s="319"/>
      <c r="BZ18" s="317">
        <v>5000</v>
      </c>
      <c r="CA18" s="318" t="s">
        <v>500</v>
      </c>
      <c r="CB18" s="320">
        <v>6</v>
      </c>
      <c r="CC18" s="317"/>
      <c r="CD18" s="318"/>
      <c r="CE18" s="319"/>
      <c r="CF18" s="317"/>
      <c r="CG18" s="318"/>
      <c r="CH18" s="319"/>
      <c r="CI18" s="221"/>
      <c r="CJ18" s="303" t="str">
        <f t="shared" si="18"/>
        <v>intermediate complexity hydrodynamics</v>
      </c>
      <c r="CK18" s="304">
        <f t="shared" si="19"/>
        <v>2</v>
      </c>
      <c r="CL18" s="303" t="str">
        <f t="shared" si="20"/>
        <v>intermediate or complex water quality</v>
      </c>
      <c r="CM18" s="304">
        <f t="shared" si="21"/>
        <v>3</v>
      </c>
      <c r="CN18" s="303" t="str">
        <f t="shared" si="22"/>
        <v>shallow</v>
      </c>
      <c r="CO18" s="304">
        <f t="shared" si="23"/>
        <v>1</v>
      </c>
      <c r="CP18" s="303" t="str">
        <f t="shared" si="24"/>
        <v>mid-size</v>
      </c>
      <c r="CQ18" s="304">
        <f t="shared" si="25"/>
        <v>4</v>
      </c>
      <c r="CR18" s="303" t="str">
        <f t="shared" si="26"/>
        <v>very low</v>
      </c>
      <c r="CS18" s="304">
        <f t="shared" si="27"/>
        <v>1</v>
      </c>
      <c r="CT18" s="303" t="str">
        <f t="shared" si="28"/>
        <v>multiple</v>
      </c>
      <c r="CU18" s="304">
        <f t="shared" si="29"/>
        <v>5</v>
      </c>
      <c r="CV18" s="304">
        <f t="shared" si="30"/>
        <v>126</v>
      </c>
      <c r="CW18" s="304" t="str">
        <f t="shared" si="31"/>
        <v>intermediate complexity hydrodynamics</v>
      </c>
      <c r="CX18" s="304">
        <f t="shared" si="89"/>
        <v>87</v>
      </c>
      <c r="CY18" s="304" t="str">
        <f t="shared" si="32"/>
        <v>intermediate complexity water quality</v>
      </c>
      <c r="CZ18" s="216" t="s">
        <v>402</v>
      </c>
      <c r="DA18" s="252" t="str">
        <f t="shared" si="72"/>
        <v>-</v>
      </c>
      <c r="DB18" s="251" t="str">
        <f t="shared" si="33"/>
        <v>intermediate complexity hydrodynamics; intermediate complexity water quality</v>
      </c>
      <c r="DC18" s="227"/>
      <c r="DD18" s="475" t="str">
        <f t="shared" si="73"/>
        <v>Palmer Cove</v>
      </c>
      <c r="DE18" s="475">
        <f t="shared" si="74"/>
        <v>12</v>
      </c>
      <c r="DF18" s="465">
        <f t="shared" si="34"/>
        <v>9.73</v>
      </c>
      <c r="DG18" s="466">
        <f t="shared" si="35"/>
        <v>0.6</v>
      </c>
      <c r="DH18" s="465">
        <f t="shared" si="36"/>
        <v>2.0699999999999998</v>
      </c>
      <c r="DI18" s="465">
        <f t="shared" si="37"/>
        <v>289.39999999999998</v>
      </c>
      <c r="DJ18" s="465">
        <f t="shared" si="38"/>
        <v>7</v>
      </c>
      <c r="DK18" s="465">
        <f t="shared" si="39"/>
        <v>0.8</v>
      </c>
      <c r="DL18" s="465">
        <f t="shared" si="40"/>
        <v>0.7</v>
      </c>
      <c r="DM18" s="465">
        <f t="shared" si="41"/>
        <v>2.2000000000000002</v>
      </c>
      <c r="DN18" s="465">
        <f t="shared" si="42"/>
        <v>44</v>
      </c>
      <c r="DO18" s="465">
        <f t="shared" si="43"/>
        <v>207986</v>
      </c>
      <c r="DP18" s="465">
        <f t="shared" si="44"/>
        <v>529880</v>
      </c>
      <c r="DQ18" s="467">
        <f t="shared" si="45"/>
        <v>0.88</v>
      </c>
      <c r="DR18" s="467">
        <f t="shared" si="46"/>
        <v>4</v>
      </c>
      <c r="DS18" s="467">
        <f t="shared" si="47"/>
        <v>17095</v>
      </c>
      <c r="DT18" s="467">
        <f t="shared" si="48"/>
        <v>12.2</v>
      </c>
      <c r="DU18" s="467">
        <f t="shared" si="49"/>
        <v>0.4</v>
      </c>
      <c r="DV18" s="467">
        <f t="shared" si="50"/>
        <v>19.46</v>
      </c>
      <c r="DW18" s="467">
        <f t="shared" si="51"/>
        <v>0</v>
      </c>
      <c r="DX18" s="467">
        <f t="shared" si="52"/>
        <v>100</v>
      </c>
      <c r="DY18" s="467">
        <f t="shared" si="53"/>
        <v>98</v>
      </c>
      <c r="DZ18" s="467">
        <f t="shared" si="54"/>
        <v>80</v>
      </c>
      <c r="EA18" s="467">
        <f t="shared" si="55"/>
        <v>4931</v>
      </c>
      <c r="EB18" s="467">
        <f t="shared" si="56"/>
        <v>82</v>
      </c>
      <c r="EC18" s="467">
        <f t="shared" si="57"/>
        <v>0</v>
      </c>
      <c r="ED18" s="467">
        <f t="shared" si="58"/>
        <v>1.6129999999999999E-2</v>
      </c>
      <c r="EE18" s="467">
        <f t="shared" si="59"/>
        <v>2.59</v>
      </c>
      <c r="EF18" s="138">
        <f t="shared" si="75"/>
        <v>1.44</v>
      </c>
      <c r="EG18" s="138" t="str">
        <f t="shared" si="76"/>
        <v>marginally possible now</v>
      </c>
      <c r="EH18" s="138">
        <f t="shared" si="77"/>
        <v>4</v>
      </c>
      <c r="EI18" s="138">
        <f t="shared" si="78"/>
        <v>1.65</v>
      </c>
      <c r="EJ18" s="138">
        <f t="shared" si="79"/>
        <v>1.31</v>
      </c>
    </row>
    <row r="19" spans="1:140" ht="44" customHeight="1" x14ac:dyDescent="0.35">
      <c r="A19" s="388">
        <v>13</v>
      </c>
      <c r="B19" s="215" t="s">
        <v>416</v>
      </c>
      <c r="C19" s="210">
        <v>13</v>
      </c>
      <c r="D19" s="196"/>
      <c r="E19" s="221"/>
      <c r="F19" s="197">
        <v>81396</v>
      </c>
      <c r="G19" s="197">
        <v>1202.472</v>
      </c>
      <c r="H19" s="241">
        <f t="shared" si="60"/>
        <v>67.690557451649596</v>
      </c>
      <c r="I19" s="241">
        <f t="shared" si="61"/>
        <v>17.764250218487398</v>
      </c>
      <c r="J19" s="212">
        <v>1</v>
      </c>
      <c r="K19" s="213">
        <v>1.9071428571428599</v>
      </c>
      <c r="L19" s="213">
        <v>2.15</v>
      </c>
      <c r="M19" s="213">
        <v>2.54</v>
      </c>
      <c r="N19" s="241">
        <f t="shared" si="91"/>
        <v>119077.69605864545</v>
      </c>
      <c r="O19" s="221"/>
      <c r="P19" s="241">
        <f t="shared" si="62"/>
        <v>364.94091155417726</v>
      </c>
      <c r="Q19" s="241">
        <f t="shared" si="80"/>
        <v>364.94091155417726</v>
      </c>
      <c r="R19" s="242">
        <f t="shared" si="63"/>
        <v>0.88840001821600001</v>
      </c>
      <c r="S19" s="213">
        <v>0.444200009108</v>
      </c>
      <c r="T19" s="241">
        <f t="shared" si="6"/>
        <v>72312.207882709539</v>
      </c>
      <c r="U19" s="197">
        <v>14</v>
      </c>
      <c r="V19" s="243">
        <f t="shared" si="7"/>
        <v>1.0466162253662401</v>
      </c>
      <c r="W19" s="243">
        <f t="shared" si="8"/>
        <v>3.2761704265271998</v>
      </c>
      <c r="X19" s="241">
        <f t="shared" si="64"/>
        <v>144624.41576541908</v>
      </c>
      <c r="Y19" s="242">
        <f t="shared" si="9"/>
        <v>1.6467163642934202</v>
      </c>
      <c r="Z19" s="243">
        <f t="shared" si="10"/>
        <v>326.29308550671436</v>
      </c>
      <c r="AA19" s="243">
        <f t="shared" si="11"/>
        <v>2.523369996848331E-3</v>
      </c>
      <c r="AB19" s="245">
        <f t="shared" si="12"/>
        <v>2.8769450117968336E-3</v>
      </c>
      <c r="AC19" s="245">
        <f t="shared" si="65"/>
        <v>3.8004005429116816</v>
      </c>
      <c r="AD19" s="245">
        <f t="shared" si="13"/>
        <v>0.60726912155821333</v>
      </c>
      <c r="AE19" s="245">
        <f t="shared" si="14"/>
        <v>2.6109870106277868E-3</v>
      </c>
      <c r="AF19" s="221"/>
      <c r="AG19" s="211">
        <v>-72.018483000000003</v>
      </c>
      <c r="AH19" s="242">
        <f t="shared" si="92"/>
        <v>1.0401077811489348</v>
      </c>
      <c r="AI19" s="242">
        <f t="shared" si="66"/>
        <v>1.1537265865605231</v>
      </c>
      <c r="AJ19" s="242">
        <f t="shared" si="67"/>
        <v>3.9915611199677503</v>
      </c>
      <c r="AK19" s="242">
        <f t="shared" si="68"/>
        <v>1.6443410483774621</v>
      </c>
      <c r="AL19" s="242">
        <f t="shared" si="69"/>
        <v>1.3123800303013526</v>
      </c>
      <c r="AM19" s="213">
        <v>0.444200009108</v>
      </c>
      <c r="AN19" s="212">
        <v>1</v>
      </c>
      <c r="AO19" s="212">
        <v>0.42857142857142899</v>
      </c>
      <c r="AP19" s="212">
        <v>0.14285714285714299</v>
      </c>
      <c r="AQ19" s="484">
        <f t="shared" si="70"/>
        <v>1.4442000091080001</v>
      </c>
      <c r="AR19" s="247" t="str">
        <f t="shared" si="84"/>
        <v>marginally possible now</v>
      </c>
      <c r="AS19" s="221"/>
      <c r="AT19" s="197">
        <v>199826</v>
      </c>
      <c r="AU19" s="197">
        <v>0</v>
      </c>
      <c r="AV19" s="197">
        <v>0</v>
      </c>
      <c r="AW19" s="197">
        <v>2.6286795429374572</v>
      </c>
      <c r="AX19" s="197">
        <v>18.821997673113376</v>
      </c>
      <c r="AY19" s="197">
        <v>65.683661140188491</v>
      </c>
      <c r="AZ19" s="197">
        <v>65.116799999999998</v>
      </c>
      <c r="BA19" s="214"/>
      <c r="BB19" s="197">
        <v>152.2511383562393</v>
      </c>
      <c r="BC19" s="241">
        <f t="shared" si="94"/>
        <v>152.2511383562393</v>
      </c>
      <c r="BD19" s="241">
        <f t="shared" si="16"/>
        <v>18.704990215273391</v>
      </c>
      <c r="BE19" s="241">
        <f t="shared" si="85"/>
        <v>152.2511383562393</v>
      </c>
      <c r="BF19" s="241">
        <f t="shared" si="86"/>
        <v>18.704990215273391</v>
      </c>
      <c r="BG19" s="248">
        <f t="shared" si="81"/>
        <v>0</v>
      </c>
      <c r="BH19" s="221"/>
      <c r="BI19" s="213">
        <f t="shared" si="71"/>
        <v>2.2307400000000002E-3</v>
      </c>
      <c r="BJ19" s="197">
        <v>8.9229599999999998</v>
      </c>
      <c r="BK19" s="213">
        <v>0</v>
      </c>
      <c r="BL19" s="197">
        <f t="shared" si="82"/>
        <v>0</v>
      </c>
      <c r="BM19" s="197" t="s">
        <v>551</v>
      </c>
      <c r="BN19" s="221"/>
      <c r="BO19" s="241">
        <f t="shared" si="87"/>
        <v>8.1395999999999997</v>
      </c>
      <c r="BP19" s="241">
        <f t="shared" si="88"/>
        <v>17.764250218487398</v>
      </c>
      <c r="BQ19" s="242">
        <f t="shared" si="1"/>
        <v>2.54</v>
      </c>
      <c r="BR19" s="241">
        <f t="shared" si="17"/>
        <v>4</v>
      </c>
      <c r="BS19" s="244">
        <f t="shared" si="2"/>
        <v>2.523369996848331E-3</v>
      </c>
      <c r="BT19" s="242">
        <f t="shared" si="3"/>
        <v>3.8004005429116816</v>
      </c>
      <c r="BU19" s="241">
        <f t="shared" si="4"/>
        <v>0</v>
      </c>
      <c r="BV19" s="221"/>
      <c r="BW19" s="492" t="s">
        <v>767</v>
      </c>
      <c r="BX19" s="493"/>
      <c r="BY19" s="494"/>
      <c r="CB19" s="492" t="s">
        <v>768</v>
      </c>
      <c r="CC19" s="493"/>
      <c r="CD19" s="494"/>
      <c r="CI19" s="221"/>
      <c r="CJ19" s="303" t="str">
        <f t="shared" si="18"/>
        <v>simple complexity hydrodynamics</v>
      </c>
      <c r="CK19" s="304">
        <f t="shared" si="19"/>
        <v>1</v>
      </c>
      <c r="CL19" s="303" t="str">
        <f t="shared" si="20"/>
        <v>intermediate or complex water quality</v>
      </c>
      <c r="CM19" s="304">
        <f t="shared" si="21"/>
        <v>3</v>
      </c>
      <c r="CN19" s="303" t="str">
        <f t="shared" si="22"/>
        <v>shallow</v>
      </c>
      <c r="CO19" s="304">
        <f t="shared" si="23"/>
        <v>1</v>
      </c>
      <c r="CP19" s="303" t="str">
        <f t="shared" si="24"/>
        <v>very small</v>
      </c>
      <c r="CQ19" s="304">
        <f t="shared" si="25"/>
        <v>2</v>
      </c>
      <c r="CR19" s="303" t="str">
        <f t="shared" si="26"/>
        <v>low</v>
      </c>
      <c r="CS19" s="304">
        <f t="shared" si="27"/>
        <v>2</v>
      </c>
      <c r="CT19" s="303" t="str">
        <f t="shared" si="28"/>
        <v>multiple</v>
      </c>
      <c r="CU19" s="304">
        <f t="shared" si="29"/>
        <v>5</v>
      </c>
      <c r="CV19" s="304">
        <f t="shared" si="30"/>
        <v>87</v>
      </c>
      <c r="CW19" s="304" t="str">
        <f t="shared" si="31"/>
        <v>simple complexity hydrodynamics</v>
      </c>
      <c r="CX19" s="304">
        <f t="shared" si="89"/>
        <v>80</v>
      </c>
      <c r="CY19" s="304" t="str">
        <f t="shared" si="32"/>
        <v>intermediate complexity water quality</v>
      </c>
      <c r="CZ19" s="216" t="s">
        <v>402</v>
      </c>
      <c r="DA19" s="252" t="str">
        <f t="shared" si="72"/>
        <v>-</v>
      </c>
      <c r="DB19" s="251" t="str">
        <f t="shared" si="33"/>
        <v>simple complexity hydrodynamics; intermediate complexity water quality</v>
      </c>
      <c r="DC19" s="227"/>
      <c r="DD19" s="475" t="str">
        <f t="shared" si="73"/>
        <v>Venetian Harbor</v>
      </c>
      <c r="DE19" s="475">
        <f t="shared" si="74"/>
        <v>13</v>
      </c>
      <c r="DF19" s="465">
        <f t="shared" si="34"/>
        <v>0.2</v>
      </c>
      <c r="DG19" s="466">
        <f t="shared" si="35"/>
        <v>0.08</v>
      </c>
      <c r="DH19" s="465">
        <f t="shared" si="36"/>
        <v>1.2</v>
      </c>
      <c r="DI19" s="465">
        <f t="shared" si="37"/>
        <v>67.7</v>
      </c>
      <c r="DJ19" s="465">
        <f t="shared" si="38"/>
        <v>18</v>
      </c>
      <c r="DK19" s="465">
        <f t="shared" si="39"/>
        <v>1.9</v>
      </c>
      <c r="DL19" s="465">
        <f t="shared" si="40"/>
        <v>2.2000000000000002</v>
      </c>
      <c r="DM19" s="465">
        <f t="shared" si="41"/>
        <v>2.5</v>
      </c>
      <c r="DN19" s="465">
        <f t="shared" si="42"/>
        <v>100</v>
      </c>
      <c r="DO19" s="465">
        <f t="shared" si="43"/>
        <v>119078</v>
      </c>
      <c r="DP19" s="465">
        <f t="shared" si="44"/>
        <v>72312</v>
      </c>
      <c r="DQ19" s="467">
        <f t="shared" si="45"/>
        <v>0.89</v>
      </c>
      <c r="DR19" s="467">
        <f t="shared" si="46"/>
        <v>14</v>
      </c>
      <c r="DS19" s="467">
        <f t="shared" si="47"/>
        <v>365</v>
      </c>
      <c r="DT19" s="467">
        <f t="shared" si="48"/>
        <v>326.3</v>
      </c>
      <c r="DU19" s="467">
        <f t="shared" si="49"/>
        <v>1.6</v>
      </c>
      <c r="DV19" s="467">
        <f t="shared" si="50"/>
        <v>0</v>
      </c>
      <c r="DW19" s="467">
        <f t="shared" si="51"/>
        <v>0</v>
      </c>
      <c r="DX19" s="467">
        <f t="shared" si="52"/>
        <v>100</v>
      </c>
      <c r="DY19" s="467">
        <f t="shared" si="53"/>
        <v>43</v>
      </c>
      <c r="DZ19" s="467">
        <f t="shared" si="54"/>
        <v>14</v>
      </c>
      <c r="EA19" s="467">
        <f t="shared" si="55"/>
        <v>152</v>
      </c>
      <c r="EB19" s="467">
        <f t="shared" si="56"/>
        <v>19</v>
      </c>
      <c r="EC19" s="467">
        <f t="shared" si="57"/>
        <v>0</v>
      </c>
      <c r="ED19" s="467">
        <f t="shared" si="58"/>
        <v>2.5200000000000001E-3</v>
      </c>
      <c r="EE19" s="467">
        <f t="shared" si="59"/>
        <v>3.8</v>
      </c>
      <c r="EF19" s="138">
        <f t="shared" si="75"/>
        <v>1.44</v>
      </c>
      <c r="EG19" s="138" t="str">
        <f t="shared" si="76"/>
        <v>marginally possible now</v>
      </c>
      <c r="EH19" s="138">
        <f t="shared" si="77"/>
        <v>3.99</v>
      </c>
      <c r="EI19" s="138">
        <f t="shared" si="78"/>
        <v>1.64</v>
      </c>
      <c r="EJ19" s="138">
        <f t="shared" si="79"/>
        <v>1.31</v>
      </c>
    </row>
    <row r="20" spans="1:140" ht="44" customHeight="1" x14ac:dyDescent="0.35">
      <c r="A20" s="388">
        <v>14</v>
      </c>
      <c r="B20" s="215" t="s">
        <v>760</v>
      </c>
      <c r="C20" s="210">
        <v>14</v>
      </c>
      <c r="D20" s="196"/>
      <c r="E20" s="221"/>
      <c r="F20" s="197">
        <v>1165426</v>
      </c>
      <c r="G20" s="197">
        <v>2676.0169999999998</v>
      </c>
      <c r="H20" s="241">
        <f t="shared" si="60"/>
        <v>435.50769669998363</v>
      </c>
      <c r="I20" s="241">
        <f t="shared" si="61"/>
        <v>6.144591749531072</v>
      </c>
      <c r="J20" s="212">
        <v>1</v>
      </c>
      <c r="K20" s="213">
        <v>1.5296296296296299</v>
      </c>
      <c r="L20" s="213">
        <v>1.25</v>
      </c>
      <c r="M20" s="213">
        <v>3.75</v>
      </c>
      <c r="N20" s="241">
        <f t="shared" si="91"/>
        <v>1259510.3928359782</v>
      </c>
      <c r="O20" s="221"/>
      <c r="P20" s="241">
        <f t="shared" si="62"/>
        <v>14644.208357582576</v>
      </c>
      <c r="Q20" s="241">
        <f t="shared" si="80"/>
        <v>14644.208357582576</v>
      </c>
      <c r="R20" s="242">
        <f t="shared" si="63"/>
        <v>0.89780002832399997</v>
      </c>
      <c r="S20" s="213">
        <v>0.44890001416199998</v>
      </c>
      <c r="T20" s="241">
        <f t="shared" si="6"/>
        <v>1046319.4958095259</v>
      </c>
      <c r="U20" s="197">
        <v>0</v>
      </c>
      <c r="V20" s="243">
        <f t="shared" si="7"/>
        <v>2.2522404445416337</v>
      </c>
      <c r="W20" s="243">
        <f t="shared" si="8"/>
        <v>7.0679063503035957</v>
      </c>
      <c r="X20" s="241">
        <f t="shared" si="64"/>
        <v>2092638.9916190519</v>
      </c>
      <c r="Y20" s="242">
        <f t="shared" si="9"/>
        <v>1.2037531536784649</v>
      </c>
      <c r="Z20" s="243">
        <f t="shared" si="10"/>
        <v>86.0074073026843</v>
      </c>
      <c r="AA20" s="243">
        <f t="shared" si="11"/>
        <v>6.9979621025089058E-3</v>
      </c>
      <c r="AB20" s="245">
        <f t="shared" si="12"/>
        <v>5.2458508782643864E-3</v>
      </c>
      <c r="AC20" s="245">
        <f t="shared" si="65"/>
        <v>2.4987516848577229</v>
      </c>
      <c r="AD20" s="245">
        <f t="shared" si="13"/>
        <v>0.83073510291056774</v>
      </c>
      <c r="AE20" s="245">
        <f t="shared" si="14"/>
        <v>7.2409468977349088E-3</v>
      </c>
      <c r="AF20" s="221"/>
      <c r="AG20" s="211">
        <v>-72.022685999999993</v>
      </c>
      <c r="AH20" s="242">
        <f t="shared" si="92"/>
        <v>1.0398286819054676</v>
      </c>
      <c r="AI20" s="242">
        <f t="shared" si="66"/>
        <v>1.154036257012089</v>
      </c>
      <c r="AJ20" s="242">
        <f t="shared" si="67"/>
        <v>3.990490037038628</v>
      </c>
      <c r="AK20" s="242">
        <f t="shared" si="68"/>
        <v>1.6438998110836722</v>
      </c>
      <c r="AL20" s="242">
        <f t="shared" si="69"/>
        <v>1.3120278703807782</v>
      </c>
      <c r="AM20" s="213">
        <v>0.44890001416199998</v>
      </c>
      <c r="AN20" s="212">
        <v>1</v>
      </c>
      <c r="AO20" s="212">
        <v>0.61111111111111105</v>
      </c>
      <c r="AP20" s="212">
        <v>0.47222222222222199</v>
      </c>
      <c r="AQ20" s="484">
        <f t="shared" si="70"/>
        <v>1.4489000141620001</v>
      </c>
      <c r="AR20" s="247" t="str">
        <f t="shared" si="84"/>
        <v>mapped as present but not field verified</v>
      </c>
      <c r="AS20" s="221"/>
      <c r="AT20" s="197">
        <v>8323227</v>
      </c>
      <c r="AU20" s="197">
        <v>0</v>
      </c>
      <c r="AV20" s="197">
        <v>0</v>
      </c>
      <c r="AW20" s="197">
        <v>802.80149710982016</v>
      </c>
      <c r="AX20" s="197">
        <v>1325.6803240758261</v>
      </c>
      <c r="AY20" s="197">
        <v>974.06747906681733</v>
      </c>
      <c r="AZ20" s="197">
        <v>932.34080000000006</v>
      </c>
      <c r="BA20" s="214"/>
      <c r="BB20" s="197">
        <v>4034.8901002524635</v>
      </c>
      <c r="BC20" s="241">
        <f t="shared" si="94"/>
        <v>4034.8901002524635</v>
      </c>
      <c r="BD20" s="241">
        <f t="shared" si="16"/>
        <v>34.621589875740405</v>
      </c>
      <c r="BE20" s="241">
        <f t="shared" si="85"/>
        <v>4034.8901002524635</v>
      </c>
      <c r="BF20" s="241">
        <f t="shared" si="86"/>
        <v>34.621589875740405</v>
      </c>
      <c r="BG20" s="248">
        <f t="shared" si="81"/>
        <v>0</v>
      </c>
      <c r="BH20" s="221"/>
      <c r="BI20" s="213">
        <f t="shared" si="71"/>
        <v>114.80912500000001</v>
      </c>
      <c r="BJ20" s="197">
        <v>459236.5</v>
      </c>
      <c r="BK20" s="213">
        <v>91</v>
      </c>
      <c r="BL20" s="197">
        <f t="shared" si="82"/>
        <v>368264.26</v>
      </c>
      <c r="BM20" s="197" t="s">
        <v>549</v>
      </c>
      <c r="BN20" s="221"/>
      <c r="BO20" s="241">
        <f t="shared" si="87"/>
        <v>116.54259999999999</v>
      </c>
      <c r="BP20" s="241">
        <f t="shared" si="88"/>
        <v>6.144591749531072</v>
      </c>
      <c r="BQ20" s="242">
        <f t="shared" si="1"/>
        <v>3.75</v>
      </c>
      <c r="BR20" s="241">
        <f t="shared" si="17"/>
        <v>0</v>
      </c>
      <c r="BS20" s="244">
        <f t="shared" si="2"/>
        <v>6.9979621025089058E-3</v>
      </c>
      <c r="BT20" s="242">
        <f t="shared" si="3"/>
        <v>2.4987516848577229</v>
      </c>
      <c r="BU20" s="241">
        <f t="shared" si="4"/>
        <v>0</v>
      </c>
      <c r="BV20" s="221"/>
      <c r="BW20" s="315">
        <v>0</v>
      </c>
      <c r="BX20" s="138" t="s">
        <v>518</v>
      </c>
      <c r="BY20" s="346"/>
      <c r="CB20" s="315">
        <v>0</v>
      </c>
      <c r="CC20" s="138" t="s">
        <v>517</v>
      </c>
      <c r="CD20" s="346"/>
      <c r="CI20" s="221"/>
      <c r="CJ20" s="303" t="str">
        <f t="shared" si="18"/>
        <v>intermediate complexity hydrodynamics</v>
      </c>
      <c r="CK20" s="304">
        <f t="shared" si="19"/>
        <v>2</v>
      </c>
      <c r="CL20" s="303" t="str">
        <f t="shared" si="20"/>
        <v>intermediate complexity water quality</v>
      </c>
      <c r="CM20" s="304">
        <f t="shared" si="21"/>
        <v>2</v>
      </c>
      <c r="CN20" s="303" t="str">
        <f t="shared" si="22"/>
        <v>moderate</v>
      </c>
      <c r="CO20" s="304">
        <f t="shared" si="23"/>
        <v>2</v>
      </c>
      <c r="CP20" s="303" t="str">
        <f t="shared" si="24"/>
        <v>mid-size</v>
      </c>
      <c r="CQ20" s="304">
        <f t="shared" si="25"/>
        <v>4</v>
      </c>
      <c r="CR20" s="303" t="str">
        <f t="shared" si="26"/>
        <v>very low</v>
      </c>
      <c r="CS20" s="304">
        <f t="shared" si="27"/>
        <v>1</v>
      </c>
      <c r="CT20" s="303" t="str">
        <f t="shared" si="28"/>
        <v>none</v>
      </c>
      <c r="CU20" s="304">
        <f t="shared" si="29"/>
        <v>1</v>
      </c>
      <c r="CV20" s="304">
        <f t="shared" si="30"/>
        <v>122</v>
      </c>
      <c r="CW20" s="304" t="str">
        <f t="shared" si="31"/>
        <v>intermediate complexity hydrodynamics</v>
      </c>
      <c r="CX20" s="304">
        <f t="shared" si="89"/>
        <v>88</v>
      </c>
      <c r="CY20" s="304" t="str">
        <f t="shared" si="32"/>
        <v>intermediate complexity water quality</v>
      </c>
      <c r="CZ20" s="216" t="s">
        <v>402</v>
      </c>
      <c r="DA20" s="252" t="str">
        <f t="shared" si="72"/>
        <v>-</v>
      </c>
      <c r="DB20" s="251" t="str">
        <f t="shared" si="33"/>
        <v>intermediate complexity hydrodynamics; intermediate complexity water quality</v>
      </c>
      <c r="DC20" s="227"/>
      <c r="DD20" s="475" t="str">
        <f t="shared" si="73"/>
        <v>Mumford Cove</v>
      </c>
      <c r="DE20" s="475">
        <f t="shared" si="74"/>
        <v>14</v>
      </c>
      <c r="DF20" s="465">
        <f t="shared" si="34"/>
        <v>8.32</v>
      </c>
      <c r="DG20" s="466">
        <f t="shared" si="35"/>
        <v>1.17</v>
      </c>
      <c r="DH20" s="465">
        <f t="shared" si="36"/>
        <v>2.68</v>
      </c>
      <c r="DI20" s="465">
        <f t="shared" si="37"/>
        <v>435.5</v>
      </c>
      <c r="DJ20" s="465">
        <f t="shared" si="38"/>
        <v>6</v>
      </c>
      <c r="DK20" s="465">
        <f t="shared" si="39"/>
        <v>1.5</v>
      </c>
      <c r="DL20" s="465">
        <f t="shared" si="40"/>
        <v>1.3</v>
      </c>
      <c r="DM20" s="465">
        <f t="shared" si="41"/>
        <v>3.8</v>
      </c>
      <c r="DN20" s="465">
        <f t="shared" si="42"/>
        <v>100</v>
      </c>
      <c r="DO20" s="465">
        <f t="shared" si="43"/>
        <v>1259510</v>
      </c>
      <c r="DP20" s="465">
        <f t="shared" si="44"/>
        <v>1046319</v>
      </c>
      <c r="DQ20" s="467">
        <f t="shared" si="45"/>
        <v>0.9</v>
      </c>
      <c r="DR20" s="467">
        <f t="shared" si="46"/>
        <v>0</v>
      </c>
      <c r="DS20" s="467">
        <f t="shared" si="47"/>
        <v>14644</v>
      </c>
      <c r="DT20" s="467">
        <f t="shared" si="48"/>
        <v>86</v>
      </c>
      <c r="DU20" s="467">
        <f t="shared" si="49"/>
        <v>1.2</v>
      </c>
      <c r="DV20" s="467">
        <f t="shared" si="50"/>
        <v>114.81</v>
      </c>
      <c r="DW20" s="467">
        <f t="shared" si="51"/>
        <v>91</v>
      </c>
      <c r="DX20" s="467">
        <f t="shared" si="52"/>
        <v>100</v>
      </c>
      <c r="DY20" s="467">
        <f t="shared" si="53"/>
        <v>61</v>
      </c>
      <c r="DZ20" s="467">
        <f t="shared" si="54"/>
        <v>47</v>
      </c>
      <c r="EA20" s="467">
        <f t="shared" si="55"/>
        <v>4035</v>
      </c>
      <c r="EB20" s="467">
        <f t="shared" si="56"/>
        <v>35</v>
      </c>
      <c r="EC20" s="467">
        <f t="shared" si="57"/>
        <v>0</v>
      </c>
      <c r="ED20" s="467">
        <f t="shared" si="58"/>
        <v>7.0000000000000001E-3</v>
      </c>
      <c r="EE20" s="467">
        <f t="shared" si="59"/>
        <v>2.5</v>
      </c>
      <c r="EF20" s="138">
        <f t="shared" si="75"/>
        <v>1.45</v>
      </c>
      <c r="EG20" s="138" t="str">
        <f t="shared" si="76"/>
        <v>mapped as present but not field verified</v>
      </c>
      <c r="EH20" s="138">
        <f t="shared" si="77"/>
        <v>3.99</v>
      </c>
      <c r="EI20" s="138">
        <f t="shared" si="78"/>
        <v>1.64</v>
      </c>
      <c r="EJ20" s="138">
        <f t="shared" si="79"/>
        <v>1.31</v>
      </c>
    </row>
    <row r="21" spans="1:140" ht="44" customHeight="1" x14ac:dyDescent="0.35">
      <c r="A21" s="388">
        <v>15</v>
      </c>
      <c r="B21" s="215" t="s">
        <v>417</v>
      </c>
      <c r="C21" s="210">
        <v>15</v>
      </c>
      <c r="D21" s="196"/>
      <c r="E21" s="221"/>
      <c r="F21" s="197">
        <v>949451</v>
      </c>
      <c r="G21" s="197">
        <v>3675.92</v>
      </c>
      <c r="H21" s="241">
        <f t="shared" si="60"/>
        <v>258.2893534135672</v>
      </c>
      <c r="I21" s="241">
        <f t="shared" si="61"/>
        <v>14.231790631006762</v>
      </c>
      <c r="J21" s="212">
        <v>1</v>
      </c>
      <c r="K21" s="213">
        <v>1.48125</v>
      </c>
      <c r="L21" s="213">
        <v>1.25</v>
      </c>
      <c r="M21" s="213">
        <v>3.45</v>
      </c>
      <c r="N21" s="241">
        <f t="shared" si="91"/>
        <v>977412.34263417218</v>
      </c>
      <c r="O21" s="221"/>
      <c r="P21" s="241">
        <f t="shared" si="62"/>
        <v>83522.47977564497</v>
      </c>
      <c r="Q21" s="241">
        <f t="shared" si="80"/>
        <v>83522.47977564497</v>
      </c>
      <c r="R21" s="242">
        <f t="shared" si="63"/>
        <v>0.90359997749400001</v>
      </c>
      <c r="S21" s="213">
        <v>0.451799988747</v>
      </c>
      <c r="T21" s="241">
        <f t="shared" si="6"/>
        <v>857923.90223165578</v>
      </c>
      <c r="U21" s="197">
        <v>4</v>
      </c>
      <c r="V21" s="243">
        <f t="shared" si="7"/>
        <v>2.8540158741065</v>
      </c>
      <c r="W21" s="243">
        <f t="shared" si="8"/>
        <v>8.9921953582633325</v>
      </c>
      <c r="X21" s="241">
        <f t="shared" si="64"/>
        <v>1715847.8044633116</v>
      </c>
      <c r="Y21" s="242">
        <f t="shared" si="9"/>
        <v>1.139276269249172</v>
      </c>
      <c r="Z21" s="243">
        <f t="shared" si="10"/>
        <v>11.702386534255945</v>
      </c>
      <c r="AA21" s="243">
        <f t="shared" si="11"/>
        <v>4.8677091032423708E-2</v>
      </c>
      <c r="AB21" s="245">
        <f t="shared" si="12"/>
        <v>2.317119310478253E-2</v>
      </c>
      <c r="AC21" s="245">
        <f t="shared" si="65"/>
        <v>1.5867281448233521</v>
      </c>
      <c r="AD21" s="245">
        <f t="shared" si="13"/>
        <v>0.87775022353361176</v>
      </c>
      <c r="AE21" s="245">
        <f t="shared" si="14"/>
        <v>5.0367267804382866E-2</v>
      </c>
      <c r="AF21" s="221"/>
      <c r="AG21" s="211">
        <v>-72.052204000000003</v>
      </c>
      <c r="AH21" s="242">
        <f t="shared" si="92"/>
        <v>1.0377471450455837</v>
      </c>
      <c r="AI21" s="242">
        <f t="shared" si="66"/>
        <v>1.156351049221426</v>
      </c>
      <c r="AJ21" s="242">
        <f t="shared" si="67"/>
        <v>3.9825018441318174</v>
      </c>
      <c r="AK21" s="242">
        <f t="shared" si="68"/>
        <v>1.6406090401035369</v>
      </c>
      <c r="AL21" s="242">
        <f t="shared" si="69"/>
        <v>1.3094014431424104</v>
      </c>
      <c r="AM21" s="213">
        <v>0.451799988747</v>
      </c>
      <c r="AN21" s="212">
        <v>1</v>
      </c>
      <c r="AO21" s="212">
        <v>0.640625</v>
      </c>
      <c r="AP21" s="212">
        <v>0.4375</v>
      </c>
      <c r="AQ21" s="484">
        <f t="shared" si="70"/>
        <v>1.4517999887470001</v>
      </c>
      <c r="AR21" s="247" t="str">
        <f t="shared" si="84"/>
        <v>marginally possible now</v>
      </c>
      <c r="AS21" s="221"/>
      <c r="AT21" s="197">
        <v>48313330</v>
      </c>
      <c r="AU21" s="197">
        <v>0</v>
      </c>
      <c r="AV21" s="197">
        <v>0</v>
      </c>
      <c r="AW21" s="197">
        <v>8367.5596391605523</v>
      </c>
      <c r="AX21" s="197">
        <v>2459.0234771278647</v>
      </c>
      <c r="AY21" s="197">
        <v>3632.0041416461099</v>
      </c>
      <c r="AZ21" s="197">
        <v>759.56080000000009</v>
      </c>
      <c r="BA21" s="214"/>
      <c r="BB21" s="197">
        <v>15218.148057934526</v>
      </c>
      <c r="BC21" s="241">
        <f t="shared" si="94"/>
        <v>15218.148057934526</v>
      </c>
      <c r="BD21" s="241">
        <f t="shared" si="16"/>
        <v>160.28365927187951</v>
      </c>
      <c r="BE21" s="241">
        <f t="shared" si="85"/>
        <v>15218.148057934526</v>
      </c>
      <c r="BF21" s="241">
        <f t="shared" si="86"/>
        <v>160.28365927187951</v>
      </c>
      <c r="BG21" s="248">
        <f t="shared" si="81"/>
        <v>0</v>
      </c>
      <c r="BH21" s="221"/>
      <c r="BI21" s="213">
        <f t="shared" si="71"/>
        <v>54.316625000000002</v>
      </c>
      <c r="BJ21" s="197">
        <v>217266.5</v>
      </c>
      <c r="BK21" s="213">
        <v>0</v>
      </c>
      <c r="BL21" s="197">
        <f t="shared" si="82"/>
        <v>0</v>
      </c>
      <c r="BM21" s="197" t="s">
        <v>549</v>
      </c>
      <c r="BN21" s="221"/>
      <c r="BO21" s="241">
        <f t="shared" si="87"/>
        <v>94.945099999999996</v>
      </c>
      <c r="BP21" s="241">
        <f t="shared" si="88"/>
        <v>14.231790631006762</v>
      </c>
      <c r="BQ21" s="242">
        <f t="shared" si="1"/>
        <v>3.45</v>
      </c>
      <c r="BR21" s="241">
        <f t="shared" si="17"/>
        <v>4</v>
      </c>
      <c r="BS21" s="244">
        <f t="shared" si="2"/>
        <v>4.8677091032423708E-2</v>
      </c>
      <c r="BT21" s="242">
        <f t="shared" si="3"/>
        <v>1.5867281448233521</v>
      </c>
      <c r="BU21" s="241">
        <f t="shared" si="4"/>
        <v>0</v>
      </c>
      <c r="BV21" s="302"/>
      <c r="BW21" s="315">
        <v>90</v>
      </c>
      <c r="BX21" s="138" t="s">
        <v>511</v>
      </c>
      <c r="BY21" s="346"/>
      <c r="CB21" s="315">
        <v>55</v>
      </c>
      <c r="CC21" s="138" t="s">
        <v>516</v>
      </c>
      <c r="CD21" s="346"/>
      <c r="CI21" s="221"/>
      <c r="CJ21" s="303" t="str">
        <f t="shared" si="18"/>
        <v>complex hydrodynamics</v>
      </c>
      <c r="CK21" s="304">
        <f t="shared" si="19"/>
        <v>3</v>
      </c>
      <c r="CL21" s="303" t="str">
        <f t="shared" si="20"/>
        <v>intermediate complexity water quality</v>
      </c>
      <c r="CM21" s="304">
        <f t="shared" si="21"/>
        <v>2</v>
      </c>
      <c r="CN21" s="303" t="str">
        <f t="shared" si="22"/>
        <v>shallow</v>
      </c>
      <c r="CO21" s="304">
        <f t="shared" si="23"/>
        <v>1</v>
      </c>
      <c r="CP21" s="303" t="str">
        <f t="shared" si="24"/>
        <v>mid-size</v>
      </c>
      <c r="CQ21" s="304">
        <f t="shared" si="25"/>
        <v>4</v>
      </c>
      <c r="CR21" s="303" t="str">
        <f t="shared" si="26"/>
        <v>low</v>
      </c>
      <c r="CS21" s="304">
        <f t="shared" si="27"/>
        <v>2</v>
      </c>
      <c r="CT21" s="303" t="str">
        <f t="shared" si="28"/>
        <v>multiple</v>
      </c>
      <c r="CU21" s="304">
        <f t="shared" si="29"/>
        <v>5</v>
      </c>
      <c r="CV21" s="304">
        <f t="shared" si="30"/>
        <v>137</v>
      </c>
      <c r="CW21" s="304" t="str">
        <f t="shared" si="31"/>
        <v>intermediate complexity hydrodynamics</v>
      </c>
      <c r="CX21" s="304">
        <f t="shared" si="89"/>
        <v>73</v>
      </c>
      <c r="CY21" s="304" t="str">
        <f t="shared" si="32"/>
        <v>intermediate complexity water quality</v>
      </c>
      <c r="CZ21" s="216" t="s">
        <v>616</v>
      </c>
      <c r="DA21" s="252" t="str">
        <f t="shared" si="72"/>
        <v>-</v>
      </c>
      <c r="DB21" s="251" t="str">
        <f t="shared" si="33"/>
        <v>intermediate complexity hydrodynamics; intermediate complexity water quality</v>
      </c>
      <c r="DC21" s="227"/>
      <c r="DD21" s="475" t="str">
        <f t="shared" si="73"/>
        <v>Poquonock River</v>
      </c>
      <c r="DE21" s="475">
        <f t="shared" si="74"/>
        <v>15</v>
      </c>
      <c r="DF21" s="465">
        <f t="shared" si="34"/>
        <v>48.31</v>
      </c>
      <c r="DG21" s="466">
        <f t="shared" si="35"/>
        <v>0.95</v>
      </c>
      <c r="DH21" s="465">
        <f t="shared" si="36"/>
        <v>3.68</v>
      </c>
      <c r="DI21" s="465">
        <f t="shared" si="37"/>
        <v>258.3</v>
      </c>
      <c r="DJ21" s="465">
        <f t="shared" si="38"/>
        <v>14</v>
      </c>
      <c r="DK21" s="465">
        <f t="shared" si="39"/>
        <v>1.5</v>
      </c>
      <c r="DL21" s="465">
        <f t="shared" si="40"/>
        <v>1.3</v>
      </c>
      <c r="DM21" s="465">
        <f t="shared" si="41"/>
        <v>3.5</v>
      </c>
      <c r="DN21" s="465">
        <f t="shared" si="42"/>
        <v>100</v>
      </c>
      <c r="DO21" s="465">
        <f t="shared" si="43"/>
        <v>977412</v>
      </c>
      <c r="DP21" s="465">
        <f t="shared" si="44"/>
        <v>857924</v>
      </c>
      <c r="DQ21" s="467">
        <f t="shared" si="45"/>
        <v>0.9</v>
      </c>
      <c r="DR21" s="467">
        <f t="shared" si="46"/>
        <v>4</v>
      </c>
      <c r="DS21" s="467">
        <f t="shared" si="47"/>
        <v>83522</v>
      </c>
      <c r="DT21" s="467">
        <f t="shared" si="48"/>
        <v>11.7</v>
      </c>
      <c r="DU21" s="467">
        <f t="shared" si="49"/>
        <v>1.1000000000000001</v>
      </c>
      <c r="DV21" s="467">
        <f t="shared" si="50"/>
        <v>54.32</v>
      </c>
      <c r="DW21" s="467">
        <f t="shared" si="51"/>
        <v>0</v>
      </c>
      <c r="DX21" s="467">
        <f t="shared" si="52"/>
        <v>100</v>
      </c>
      <c r="DY21" s="467">
        <f t="shared" si="53"/>
        <v>64</v>
      </c>
      <c r="DZ21" s="467">
        <f t="shared" si="54"/>
        <v>44</v>
      </c>
      <c r="EA21" s="467">
        <f t="shared" si="55"/>
        <v>15218</v>
      </c>
      <c r="EB21" s="467">
        <f t="shared" si="56"/>
        <v>160</v>
      </c>
      <c r="EC21" s="467">
        <f t="shared" si="57"/>
        <v>0</v>
      </c>
      <c r="ED21" s="467">
        <f t="shared" si="58"/>
        <v>4.8680000000000001E-2</v>
      </c>
      <c r="EE21" s="467">
        <f t="shared" si="59"/>
        <v>1.59</v>
      </c>
      <c r="EF21" s="138">
        <f t="shared" si="75"/>
        <v>1.45</v>
      </c>
      <c r="EG21" s="138" t="str">
        <f t="shared" si="76"/>
        <v>marginally possible now</v>
      </c>
      <c r="EH21" s="138">
        <f t="shared" si="77"/>
        <v>3.98</v>
      </c>
      <c r="EI21" s="138">
        <f t="shared" si="78"/>
        <v>1.64</v>
      </c>
      <c r="EJ21" s="138">
        <f t="shared" si="79"/>
        <v>1.31</v>
      </c>
    </row>
    <row r="22" spans="1:140" ht="44" customHeight="1" thickBot="1" x14ac:dyDescent="0.4">
      <c r="A22" s="388">
        <v>16</v>
      </c>
      <c r="B22" s="215" t="s">
        <v>418</v>
      </c>
      <c r="C22" s="210">
        <v>16</v>
      </c>
      <c r="D22" s="196"/>
      <c r="E22" s="221"/>
      <c r="F22" s="197">
        <v>663739</v>
      </c>
      <c r="G22" s="197">
        <v>2326.6080000000002</v>
      </c>
      <c r="H22" s="241">
        <f t="shared" si="60"/>
        <v>285.28183518667515</v>
      </c>
      <c r="I22" s="241">
        <f t="shared" si="61"/>
        <v>8.1554719334919312</v>
      </c>
      <c r="J22" s="212">
        <v>0.7126611514465776</v>
      </c>
      <c r="K22" s="213">
        <v>1.0488628060126</v>
      </c>
      <c r="L22" s="213">
        <v>0.95</v>
      </c>
      <c r="M22" s="213">
        <v>2.89</v>
      </c>
      <c r="N22" s="241">
        <f t="shared" si="91"/>
        <v>368217.70715631463</v>
      </c>
      <c r="O22" s="221"/>
      <c r="P22" s="241">
        <f t="shared" si="62"/>
        <v>10757.513842095992</v>
      </c>
      <c r="Q22" s="241">
        <f t="shared" si="80"/>
        <v>10757.513842095992</v>
      </c>
      <c r="R22" s="242">
        <f t="shared" si="63"/>
        <v>0.98820000887000004</v>
      </c>
      <c r="S22" s="213">
        <v>0.49410000443500002</v>
      </c>
      <c r="T22" s="241">
        <f t="shared" si="6"/>
        <v>655906.88568736496</v>
      </c>
      <c r="U22" s="197">
        <v>4</v>
      </c>
      <c r="V22" s="243">
        <f t="shared" si="7"/>
        <v>1.9583197033855404</v>
      </c>
      <c r="W22" s="243">
        <f t="shared" si="8"/>
        <v>6.1434731470612007</v>
      </c>
      <c r="X22" s="241">
        <f t="shared" si="64"/>
        <v>1311813.7713747299</v>
      </c>
      <c r="Y22" s="242">
        <f t="shared" si="9"/>
        <v>0.5613871651468284</v>
      </c>
      <c r="Z22" s="243">
        <f t="shared" si="10"/>
        <v>34.228885276021281</v>
      </c>
      <c r="AA22" s="243">
        <f t="shared" si="11"/>
        <v>8.2004885730255252E-3</v>
      </c>
      <c r="AB22" s="245">
        <f t="shared" si="12"/>
        <v>1.0684844349827392E-2</v>
      </c>
      <c r="AC22" s="245">
        <f t="shared" si="65"/>
        <v>4.3431738872135996</v>
      </c>
      <c r="AD22" s="245">
        <f t="shared" si="13"/>
        <v>1.7813018574061172</v>
      </c>
      <c r="AE22" s="245">
        <f t="shared" si="14"/>
        <v>8.4852277595889123E-3</v>
      </c>
      <c r="AF22" s="221"/>
      <c r="AG22" s="211">
        <v>-72.052204000000003</v>
      </c>
      <c r="AH22" s="242">
        <f t="shared" si="92"/>
        <v>1.0377471450455837</v>
      </c>
      <c r="AI22" s="242">
        <f t="shared" si="66"/>
        <v>1.156351049221426</v>
      </c>
      <c r="AJ22" s="242">
        <f t="shared" si="67"/>
        <v>3.9825018441318174</v>
      </c>
      <c r="AK22" s="242">
        <f t="shared" si="68"/>
        <v>1.6406090401035369</v>
      </c>
      <c r="AL22" s="242">
        <f t="shared" si="69"/>
        <v>1.3094014431424104</v>
      </c>
      <c r="AM22" s="213">
        <v>0.49410000443500002</v>
      </c>
      <c r="AN22" s="212">
        <v>1</v>
      </c>
      <c r="AO22" s="212">
        <v>0.83371239799579899</v>
      </c>
      <c r="AP22" s="212">
        <v>0.72681322527881198</v>
      </c>
      <c r="AQ22" s="484">
        <f t="shared" si="70"/>
        <v>1.4941000044349999</v>
      </c>
      <c r="AR22" s="247" t="str">
        <f t="shared" si="84"/>
        <v>marginally possible now</v>
      </c>
      <c r="AS22" s="221"/>
      <c r="AT22" s="197">
        <v>6095154</v>
      </c>
      <c r="AU22" s="197">
        <v>0</v>
      </c>
      <c r="AV22" s="197">
        <v>0</v>
      </c>
      <c r="AW22" s="197">
        <v>2483.6775154814609</v>
      </c>
      <c r="AX22" s="197">
        <v>1175.5037086820644</v>
      </c>
      <c r="AY22" s="197">
        <v>967.81351413040318</v>
      </c>
      <c r="AZ22" s="197">
        <v>530.99120000000005</v>
      </c>
      <c r="BA22" s="214"/>
      <c r="BB22" s="197">
        <v>5157.9859382939285</v>
      </c>
      <c r="BC22" s="241">
        <f t="shared" si="94"/>
        <v>5157.9859382939285</v>
      </c>
      <c r="BD22" s="241">
        <f t="shared" si="16"/>
        <v>77.711057182023779</v>
      </c>
      <c r="BE22" s="241">
        <f t="shared" si="85"/>
        <v>5157.9859382939285</v>
      </c>
      <c r="BF22" s="241">
        <f t="shared" si="86"/>
        <v>77.711057182023779</v>
      </c>
      <c r="BG22" s="248">
        <f t="shared" si="81"/>
        <v>0</v>
      </c>
      <c r="BH22" s="221"/>
      <c r="BI22" s="213">
        <f t="shared" si="71"/>
        <v>54.597674999999995</v>
      </c>
      <c r="BJ22" s="197">
        <v>218390.69999999998</v>
      </c>
      <c r="BK22" s="213">
        <v>0</v>
      </c>
      <c r="BL22" s="197">
        <f t="shared" si="82"/>
        <v>0</v>
      </c>
      <c r="BM22" s="197" t="s">
        <v>551</v>
      </c>
      <c r="BN22" s="221"/>
      <c r="BO22" s="241">
        <f t="shared" si="87"/>
        <v>66.373900000000006</v>
      </c>
      <c r="BP22" s="241">
        <f t="shared" si="88"/>
        <v>8.1554719334919312</v>
      </c>
      <c r="BQ22" s="242">
        <f t="shared" si="1"/>
        <v>2.89</v>
      </c>
      <c r="BR22" s="241">
        <f t="shared" si="17"/>
        <v>4</v>
      </c>
      <c r="BS22" s="244">
        <f t="shared" si="2"/>
        <v>8.2004885730255252E-3</v>
      </c>
      <c r="BT22" s="242">
        <f t="shared" si="3"/>
        <v>4.3431738872135996</v>
      </c>
      <c r="BU22" s="241">
        <f t="shared" si="4"/>
        <v>0</v>
      </c>
      <c r="BV22" s="302"/>
      <c r="BW22" s="317">
        <v>140</v>
      </c>
      <c r="BX22" s="318" t="s">
        <v>512</v>
      </c>
      <c r="BY22" s="319"/>
      <c r="CB22" s="317">
        <v>120</v>
      </c>
      <c r="CC22" s="318" t="s">
        <v>514</v>
      </c>
      <c r="CD22" s="319"/>
      <c r="CI22" s="221"/>
      <c r="CJ22" s="303" t="str">
        <f t="shared" si="18"/>
        <v>intermediate complexity hydrodynamics</v>
      </c>
      <c r="CK22" s="304">
        <f t="shared" si="19"/>
        <v>2</v>
      </c>
      <c r="CL22" s="303" t="str">
        <f t="shared" si="20"/>
        <v>intermediate or complex water quality</v>
      </c>
      <c r="CM22" s="304">
        <f t="shared" si="21"/>
        <v>3</v>
      </c>
      <c r="CN22" s="303" t="str">
        <f t="shared" si="22"/>
        <v>shallow</v>
      </c>
      <c r="CO22" s="304">
        <f t="shared" si="23"/>
        <v>1</v>
      </c>
      <c r="CP22" s="303" t="str">
        <f t="shared" si="24"/>
        <v>mid-size</v>
      </c>
      <c r="CQ22" s="304">
        <f t="shared" si="25"/>
        <v>4</v>
      </c>
      <c r="CR22" s="303" t="str">
        <f t="shared" si="26"/>
        <v>very low</v>
      </c>
      <c r="CS22" s="304">
        <f t="shared" si="27"/>
        <v>1</v>
      </c>
      <c r="CT22" s="303" t="str">
        <f t="shared" si="28"/>
        <v>multiple</v>
      </c>
      <c r="CU22" s="304">
        <f t="shared" si="29"/>
        <v>5</v>
      </c>
      <c r="CV22" s="304">
        <f t="shared" si="30"/>
        <v>126</v>
      </c>
      <c r="CW22" s="304" t="str">
        <f t="shared" si="31"/>
        <v>intermediate complexity hydrodynamics</v>
      </c>
      <c r="CX22" s="304">
        <f t="shared" si="89"/>
        <v>87</v>
      </c>
      <c r="CY22" s="304" t="str">
        <f t="shared" si="32"/>
        <v>intermediate complexity water quality</v>
      </c>
      <c r="CZ22" s="216" t="s">
        <v>402</v>
      </c>
      <c r="DA22" s="252" t="str">
        <f t="shared" si="72"/>
        <v>-</v>
      </c>
      <c r="DB22" s="251" t="str">
        <f t="shared" si="33"/>
        <v>intermediate complexity hydrodynamics; intermediate complexity water quality</v>
      </c>
      <c r="DC22" s="227"/>
      <c r="DD22" s="475" t="str">
        <f t="shared" si="73"/>
        <v>Baker Cove</v>
      </c>
      <c r="DE22" s="475">
        <f t="shared" si="74"/>
        <v>16</v>
      </c>
      <c r="DF22" s="465">
        <f t="shared" si="34"/>
        <v>6.1</v>
      </c>
      <c r="DG22" s="466">
        <f t="shared" si="35"/>
        <v>0.66</v>
      </c>
      <c r="DH22" s="465">
        <f t="shared" si="36"/>
        <v>2.33</v>
      </c>
      <c r="DI22" s="465">
        <f t="shared" si="37"/>
        <v>285.3</v>
      </c>
      <c r="DJ22" s="465">
        <f t="shared" si="38"/>
        <v>8</v>
      </c>
      <c r="DK22" s="465">
        <f t="shared" si="39"/>
        <v>1</v>
      </c>
      <c r="DL22" s="465">
        <f t="shared" si="40"/>
        <v>1</v>
      </c>
      <c r="DM22" s="465">
        <f t="shared" si="41"/>
        <v>2.9</v>
      </c>
      <c r="DN22" s="465">
        <f t="shared" si="42"/>
        <v>71</v>
      </c>
      <c r="DO22" s="465">
        <f t="shared" si="43"/>
        <v>368218</v>
      </c>
      <c r="DP22" s="465">
        <f t="shared" si="44"/>
        <v>655907</v>
      </c>
      <c r="DQ22" s="467">
        <f t="shared" si="45"/>
        <v>0.99</v>
      </c>
      <c r="DR22" s="467">
        <f t="shared" si="46"/>
        <v>4</v>
      </c>
      <c r="DS22" s="467">
        <f t="shared" si="47"/>
        <v>10758</v>
      </c>
      <c r="DT22" s="467">
        <f t="shared" si="48"/>
        <v>34.200000000000003</v>
      </c>
      <c r="DU22" s="467">
        <f t="shared" si="49"/>
        <v>0.6</v>
      </c>
      <c r="DV22" s="467">
        <f t="shared" si="50"/>
        <v>54.6</v>
      </c>
      <c r="DW22" s="467">
        <f t="shared" si="51"/>
        <v>0</v>
      </c>
      <c r="DX22" s="467">
        <f t="shared" si="52"/>
        <v>100</v>
      </c>
      <c r="DY22" s="467">
        <f t="shared" si="53"/>
        <v>83</v>
      </c>
      <c r="DZ22" s="467">
        <f t="shared" si="54"/>
        <v>73</v>
      </c>
      <c r="EA22" s="467">
        <f t="shared" si="55"/>
        <v>5158</v>
      </c>
      <c r="EB22" s="467">
        <f t="shared" si="56"/>
        <v>78</v>
      </c>
      <c r="EC22" s="467">
        <f t="shared" si="57"/>
        <v>0</v>
      </c>
      <c r="ED22" s="467">
        <f t="shared" si="58"/>
        <v>8.2000000000000007E-3</v>
      </c>
      <c r="EE22" s="467">
        <f t="shared" si="59"/>
        <v>4.34</v>
      </c>
      <c r="EF22" s="138">
        <f t="shared" si="75"/>
        <v>1.49</v>
      </c>
      <c r="EG22" s="138" t="str">
        <f t="shared" si="76"/>
        <v>marginally possible now</v>
      </c>
      <c r="EH22" s="138">
        <f t="shared" si="77"/>
        <v>3.98</v>
      </c>
      <c r="EI22" s="138">
        <f t="shared" si="78"/>
        <v>1.64</v>
      </c>
      <c r="EJ22" s="138">
        <f t="shared" si="79"/>
        <v>1.31</v>
      </c>
    </row>
    <row r="23" spans="1:140" s="295" customFormat="1" ht="44" hidden="1" customHeight="1" x14ac:dyDescent="0.35">
      <c r="A23" s="390">
        <v>17</v>
      </c>
      <c r="B23" s="249" t="s">
        <v>187</v>
      </c>
      <c r="C23" s="282">
        <v>17</v>
      </c>
      <c r="D23" s="250"/>
      <c r="E23" s="283"/>
      <c r="F23" s="284"/>
      <c r="G23" s="285"/>
      <c r="H23" s="285" t="e">
        <f t="shared" si="60"/>
        <v>#DIV/0!</v>
      </c>
      <c r="I23" s="285"/>
      <c r="J23" s="286"/>
      <c r="K23" s="284">
        <v>0.30009000900089999</v>
      </c>
      <c r="L23" s="284">
        <v>0.25</v>
      </c>
      <c r="M23" s="284"/>
      <c r="N23" s="285"/>
      <c r="O23" s="283"/>
      <c r="P23" s="285">
        <f t="shared" si="62"/>
        <v>0</v>
      </c>
      <c r="Q23" s="285">
        <f t="shared" si="80"/>
        <v>0</v>
      </c>
      <c r="R23" s="284"/>
      <c r="S23" s="284"/>
      <c r="T23" s="285"/>
      <c r="U23" s="285"/>
      <c r="V23" s="287"/>
      <c r="W23" s="287"/>
      <c r="X23" s="285"/>
      <c r="Y23" s="284"/>
      <c r="Z23" s="287"/>
      <c r="AA23" s="287"/>
      <c r="AB23" s="289"/>
      <c r="AC23" s="289"/>
      <c r="AD23" s="289"/>
      <c r="AE23" s="289"/>
      <c r="AF23" s="283"/>
      <c r="AG23" s="283"/>
      <c r="AH23" s="284"/>
      <c r="AI23" s="284"/>
      <c r="AJ23" s="284">
        <v>0</v>
      </c>
      <c r="AK23" s="284">
        <v>0</v>
      </c>
      <c r="AL23" s="284">
        <v>0</v>
      </c>
      <c r="AM23" s="284"/>
      <c r="AN23" s="286">
        <v>0</v>
      </c>
      <c r="AO23" s="286">
        <v>0</v>
      </c>
      <c r="AP23" s="286">
        <v>0</v>
      </c>
      <c r="AQ23" s="485">
        <f t="shared" si="70"/>
        <v>1</v>
      </c>
      <c r="AR23" s="290" t="str">
        <f t="shared" si="84"/>
        <v>unlikely, too shallow</v>
      </c>
      <c r="AS23" s="283"/>
      <c r="AT23" s="285"/>
      <c r="AU23" s="285"/>
      <c r="AV23" s="285"/>
      <c r="AW23" s="285">
        <v>36290.002427288338</v>
      </c>
      <c r="AX23" s="285">
        <v>28121.594868612159</v>
      </c>
      <c r="AY23" s="285">
        <v>23098.144584301874</v>
      </c>
      <c r="AZ23" s="285">
        <v>14382.880000000001</v>
      </c>
      <c r="BA23" s="291"/>
      <c r="BB23" s="285"/>
      <c r="BC23" s="285"/>
      <c r="BD23" s="285"/>
      <c r="BE23" s="285"/>
      <c r="BF23" s="285"/>
      <c r="BG23" s="292"/>
      <c r="BH23" s="283"/>
      <c r="BI23" s="284">
        <f t="shared" si="71"/>
        <v>0</v>
      </c>
      <c r="BJ23" s="285"/>
      <c r="BK23" s="284"/>
      <c r="BL23" s="285">
        <f t="shared" si="82"/>
        <v>0</v>
      </c>
      <c r="BM23" s="285"/>
      <c r="BN23" s="283"/>
      <c r="BO23" s="285"/>
      <c r="BP23" s="285"/>
      <c r="BQ23" s="284">
        <f t="shared" si="1"/>
        <v>0</v>
      </c>
      <c r="BR23" s="285"/>
      <c r="BS23" s="288"/>
      <c r="BT23" s="284"/>
      <c r="BU23" s="285"/>
      <c r="BV23" s="345"/>
      <c r="CE23" s="138"/>
      <c r="CF23" s="138"/>
      <c r="CG23" s="138"/>
      <c r="CH23" s="138"/>
      <c r="CI23" s="283"/>
      <c r="CJ23" s="303" t="str">
        <f t="shared" si="18"/>
        <v>simple complexity hydrodynamics</v>
      </c>
      <c r="CK23" s="304">
        <f t="shared" si="19"/>
        <v>1</v>
      </c>
      <c r="CL23" s="303" t="str">
        <f t="shared" si="20"/>
        <v>simple complexity water quality</v>
      </c>
      <c r="CM23" s="304">
        <f t="shared" si="21"/>
        <v>1</v>
      </c>
      <c r="CN23" s="303" t="str">
        <f t="shared" si="22"/>
        <v>shallow</v>
      </c>
      <c r="CO23" s="304">
        <f t="shared" si="23"/>
        <v>1</v>
      </c>
      <c r="CP23" s="303" t="str">
        <f t="shared" si="24"/>
        <v>tiny</v>
      </c>
      <c r="CQ23" s="304">
        <f t="shared" si="25"/>
        <v>1</v>
      </c>
      <c r="CR23" s="303" t="str">
        <f t="shared" si="26"/>
        <v>very low</v>
      </c>
      <c r="CS23" s="304">
        <f t="shared" si="27"/>
        <v>1</v>
      </c>
      <c r="CT23" s="303" t="str">
        <f t="shared" si="28"/>
        <v>none</v>
      </c>
      <c r="CU23" s="304">
        <f t="shared" si="29"/>
        <v>1</v>
      </c>
      <c r="CV23" s="304">
        <f t="shared" si="30"/>
        <v>52</v>
      </c>
      <c r="CW23" s="304" t="str">
        <f t="shared" si="31"/>
        <v>simple complexity hydrodynamics</v>
      </c>
      <c r="CX23" s="304">
        <f t="shared" si="89"/>
        <v>41</v>
      </c>
      <c r="CY23" s="304" t="str">
        <f t="shared" si="32"/>
        <v>simple complexity water quality</v>
      </c>
      <c r="CZ23" s="293"/>
      <c r="DA23" s="250"/>
      <c r="DB23" s="249" t="str">
        <f t="shared" si="33"/>
        <v>simple complexity hydrodynamics; simple complexity water quality</v>
      </c>
      <c r="DC23" s="294"/>
      <c r="DD23" s="475" t="str">
        <f t="shared" si="73"/>
        <v>Thames River</v>
      </c>
      <c r="DE23" s="475">
        <f t="shared" si="74"/>
        <v>17</v>
      </c>
      <c r="DF23" s="468">
        <f t="shared" si="34"/>
        <v>0</v>
      </c>
      <c r="DG23" s="480">
        <f t="shared" si="35"/>
        <v>0</v>
      </c>
      <c r="DH23" s="468">
        <f t="shared" si="36"/>
        <v>0</v>
      </c>
      <c r="DI23" s="468" t="e">
        <f t="shared" si="37"/>
        <v>#DIV/0!</v>
      </c>
      <c r="DJ23" s="468">
        <f t="shared" si="38"/>
        <v>0</v>
      </c>
      <c r="DK23" s="468">
        <f t="shared" si="39"/>
        <v>0.3</v>
      </c>
      <c r="DL23" s="468">
        <f t="shared" si="40"/>
        <v>0.3</v>
      </c>
      <c r="DM23" s="468">
        <f t="shared" si="41"/>
        <v>0</v>
      </c>
      <c r="DN23" s="468">
        <f t="shared" si="42"/>
        <v>0</v>
      </c>
      <c r="DO23" s="468">
        <f t="shared" si="43"/>
        <v>0</v>
      </c>
      <c r="DP23" s="468">
        <f t="shared" si="44"/>
        <v>0</v>
      </c>
      <c r="DQ23" s="467">
        <f t="shared" si="45"/>
        <v>0</v>
      </c>
      <c r="DR23" s="468">
        <f t="shared" si="46"/>
        <v>0</v>
      </c>
      <c r="DS23" s="468">
        <f t="shared" si="47"/>
        <v>0</v>
      </c>
      <c r="DT23" s="468">
        <f t="shared" si="48"/>
        <v>0</v>
      </c>
      <c r="DU23" s="468">
        <f t="shared" si="49"/>
        <v>0</v>
      </c>
      <c r="DV23" s="468">
        <f t="shared" si="50"/>
        <v>0</v>
      </c>
      <c r="DW23" s="468">
        <f t="shared" si="51"/>
        <v>0</v>
      </c>
      <c r="DX23" s="468">
        <f t="shared" si="52"/>
        <v>0</v>
      </c>
      <c r="DY23" s="468">
        <f t="shared" si="53"/>
        <v>0</v>
      </c>
      <c r="DZ23" s="468">
        <f t="shared" si="54"/>
        <v>0</v>
      </c>
      <c r="EA23" s="468">
        <f t="shared" si="55"/>
        <v>0</v>
      </c>
      <c r="EB23" s="468">
        <f t="shared" si="56"/>
        <v>0</v>
      </c>
      <c r="EC23" s="468">
        <f t="shared" si="57"/>
        <v>0</v>
      </c>
      <c r="ED23" s="468">
        <f t="shared" si="58"/>
        <v>0</v>
      </c>
      <c r="EE23" s="468">
        <f t="shared" si="59"/>
        <v>0</v>
      </c>
      <c r="EF23" s="295">
        <f t="shared" si="75"/>
        <v>1</v>
      </c>
      <c r="EG23" s="295" t="str">
        <f t="shared" si="76"/>
        <v>unlikely, too shallow</v>
      </c>
      <c r="EH23" s="295">
        <f t="shared" si="77"/>
        <v>0</v>
      </c>
      <c r="EI23" s="295">
        <f t="shared" si="78"/>
        <v>0</v>
      </c>
      <c r="EJ23" s="295">
        <f t="shared" si="79"/>
        <v>0</v>
      </c>
    </row>
    <row r="24" spans="1:140" ht="44" customHeight="1" x14ac:dyDescent="0.35">
      <c r="A24" s="388">
        <v>18</v>
      </c>
      <c r="B24" s="215" t="s">
        <v>419</v>
      </c>
      <c r="C24" s="210">
        <v>18</v>
      </c>
      <c r="D24" s="196"/>
      <c r="E24" s="221"/>
      <c r="F24" s="197">
        <v>167340</v>
      </c>
      <c r="G24" s="197">
        <v>2358.884</v>
      </c>
      <c r="H24" s="241">
        <f t="shared" si="60"/>
        <v>70.940326018574879</v>
      </c>
      <c r="I24" s="241">
        <f t="shared" si="61"/>
        <v>33.251665623616589</v>
      </c>
      <c r="J24" s="212">
        <v>0</v>
      </c>
      <c r="K24" s="213">
        <v>0.55000986016493403</v>
      </c>
      <c r="L24" s="213">
        <v>0.45</v>
      </c>
      <c r="M24" s="213">
        <v>1.2533999860290002</v>
      </c>
      <c r="N24" s="241">
        <f t="shared" ref="N24:N29" si="95">F24*MAX(0.1,(K24-S24))</f>
        <v>16734</v>
      </c>
      <c r="O24" s="221"/>
      <c r="P24" s="241">
        <f t="shared" si="62"/>
        <v>9308.4491850235627</v>
      </c>
      <c r="Q24" s="241">
        <f t="shared" si="80"/>
        <v>9308.4491850235627</v>
      </c>
      <c r="R24" s="242">
        <f t="shared" ref="R24:R35" si="96">S24*2</f>
        <v>0.906799972058</v>
      </c>
      <c r="S24" s="213">
        <v>0.453399986029</v>
      </c>
      <c r="T24" s="241">
        <f t="shared" ref="T24:T35" si="97">F24*R24</f>
        <v>151743.90732418571</v>
      </c>
      <c r="U24" s="197">
        <v>13</v>
      </c>
      <c r="V24" s="243">
        <f t="shared" ref="V24:V35" si="98">(22.05*(G24/1000)+2.57106*(F24/1000/1000)-1.11*(G24/1000)^2) / 24</f>
        <v>1.9278009560476603</v>
      </c>
      <c r="W24" s="243">
        <f t="shared" ref="W24:W35" si="99">(68.83*(G24/1000)+7.78344*(F24/1000/1000)-3.3*(G24/1000)^2) / 24</f>
        <v>6.0542568864831336</v>
      </c>
      <c r="X24" s="241">
        <f t="shared" ref="X24:X35" si="100">T24*2</f>
        <v>303487.81464837142</v>
      </c>
      <c r="Y24" s="242">
        <f t="shared" ref="Y24:Y35" si="101">N24/T24</f>
        <v>0.11027790370686501</v>
      </c>
      <c r="Z24" s="243">
        <f t="shared" ref="Z24:Z35" si="102">N24/Q24</f>
        <v>1.7977215825514163</v>
      </c>
      <c r="AA24" s="243">
        <f t="shared" ref="AA24:AA35" si="103">Q24/X24</f>
        <v>3.0671574724700446E-2</v>
      </c>
      <c r="AB24" s="245">
        <f t="shared" ref="AB24:AB35" si="104">BE24/(Q24+X24)*1000/365</f>
        <v>2.0489856894165007E-2</v>
      </c>
      <c r="AC24" s="245">
        <f t="shared" si="65"/>
        <v>2.2268019687149296</v>
      </c>
      <c r="AD24" s="245">
        <f t="shared" ref="AD24:AD35" si="105">T24/N24</f>
        <v>9.0679997205799996</v>
      </c>
      <c r="AE24" s="245">
        <f t="shared" ref="AE24:AE35" si="106">(Q24/24/60/60)*44700/T24</f>
        <v>3.1736559958196985E-2</v>
      </c>
      <c r="AF24" s="221"/>
      <c r="AG24" s="211">
        <v>-72.101259999999996</v>
      </c>
      <c r="AH24" s="246">
        <v>0.81408622526351115</v>
      </c>
      <c r="AI24" s="246">
        <f t="shared" si="66"/>
        <v>1.4740453317602475</v>
      </c>
      <c r="AJ24" s="246">
        <f t="shared" si="67"/>
        <v>3.1241713445059225</v>
      </c>
      <c r="AK24" s="246">
        <f t="shared" si="68"/>
        <v>1.2870160394730972</v>
      </c>
      <c r="AL24" s="246">
        <f t="shared" si="69"/>
        <v>1.0271921086861442</v>
      </c>
      <c r="AM24" s="218">
        <v>0.453399986029</v>
      </c>
      <c r="AN24" s="212">
        <v>1.00001792757261</v>
      </c>
      <c r="AO24" s="212">
        <v>1.00001792757261</v>
      </c>
      <c r="AP24" s="212">
        <v>0.909107206884188</v>
      </c>
      <c r="AQ24" s="484">
        <f t="shared" si="70"/>
        <v>1.4533999860289999</v>
      </c>
      <c r="AR24" s="247" t="str">
        <f t="shared" si="84"/>
        <v>unlikely, too shallow</v>
      </c>
      <c r="AS24" s="221"/>
      <c r="AT24" s="197">
        <v>5266419</v>
      </c>
      <c r="AU24" s="197">
        <v>0</v>
      </c>
      <c r="AV24" s="197">
        <v>0</v>
      </c>
      <c r="AW24" s="197">
        <v>779.83589528837467</v>
      </c>
      <c r="AX24" s="197">
        <v>794.09744314496129</v>
      </c>
      <c r="AY24" s="197">
        <v>631.53466085281093</v>
      </c>
      <c r="AZ24" s="197">
        <v>133.87200000000001</v>
      </c>
      <c r="BA24" s="214"/>
      <c r="BB24" s="197">
        <v>2339.3399992861468</v>
      </c>
      <c r="BC24" s="241">
        <f t="shared" ref="BC24:BC29" si="107">BB24-AU24+AV24</f>
        <v>2339.3399992861468</v>
      </c>
      <c r="BD24" s="241">
        <f t="shared" ref="BD24:BD35" si="108">BC24/F24*10000</f>
        <v>139.79562562962514</v>
      </c>
      <c r="BE24" s="241">
        <f>BC24</f>
        <v>2339.3399992861468</v>
      </c>
      <c r="BF24" s="241">
        <f t="shared" si="86"/>
        <v>139.79562562962514</v>
      </c>
      <c r="BG24" s="248">
        <f>AV24/BE24*100</f>
        <v>0</v>
      </c>
      <c r="BH24" s="221"/>
      <c r="BI24" s="213">
        <f t="shared" si="71"/>
        <v>20.766947500000001</v>
      </c>
      <c r="BJ24" s="197">
        <v>83067.789999999994</v>
      </c>
      <c r="BK24" s="213">
        <v>0</v>
      </c>
      <c r="BL24" s="197">
        <f t="shared" si="82"/>
        <v>0</v>
      </c>
      <c r="BM24" s="197" t="s">
        <v>549</v>
      </c>
      <c r="BN24" s="221"/>
      <c r="BO24" s="241">
        <f t="shared" ref="BO24:BO35" si="109">F24/10000</f>
        <v>16.734000000000002</v>
      </c>
      <c r="BP24" s="241">
        <f t="shared" ref="BP24:BP35" si="110">I24</f>
        <v>33.251665623616589</v>
      </c>
      <c r="BQ24" s="242">
        <f t="shared" si="1"/>
        <v>1.2533999860290002</v>
      </c>
      <c r="BR24" s="241">
        <f t="shared" ref="BR24:BR35" si="111">IF(U24&gt;6,U24-10,U24)</f>
        <v>3</v>
      </c>
      <c r="BS24" s="244">
        <f t="shared" ref="BS24:BS35" si="112">AA24</f>
        <v>3.0671574724700446E-2</v>
      </c>
      <c r="BT24" s="242">
        <f t="shared" ref="BT24:BT35" si="113">AC24</f>
        <v>2.2268019687149296</v>
      </c>
      <c r="BU24" s="241">
        <f t="shared" ref="BU24:BU35" si="114">BG24</f>
        <v>0</v>
      </c>
      <c r="BV24" s="302"/>
      <c r="CI24" s="221"/>
      <c r="CJ24" s="303" t="str">
        <f t="shared" si="18"/>
        <v>intermediate complexity hydrodynamics</v>
      </c>
      <c r="CK24" s="304">
        <f t="shared" si="19"/>
        <v>2</v>
      </c>
      <c r="CL24" s="303" t="str">
        <f t="shared" si="20"/>
        <v>intermediate complexity water quality</v>
      </c>
      <c r="CM24" s="304">
        <f t="shared" si="21"/>
        <v>2</v>
      </c>
      <c r="CN24" s="303" t="str">
        <f t="shared" si="22"/>
        <v>shallow</v>
      </c>
      <c r="CO24" s="304">
        <f t="shared" si="23"/>
        <v>1</v>
      </c>
      <c r="CP24" s="303" t="str">
        <f t="shared" si="24"/>
        <v>very small</v>
      </c>
      <c r="CQ24" s="304">
        <f t="shared" si="25"/>
        <v>2</v>
      </c>
      <c r="CR24" s="303" t="str">
        <f t="shared" si="26"/>
        <v>moderate</v>
      </c>
      <c r="CS24" s="304">
        <f t="shared" si="27"/>
        <v>3</v>
      </c>
      <c r="CT24" s="303" t="str">
        <f t="shared" si="28"/>
        <v>mouth</v>
      </c>
      <c r="CU24" s="304">
        <f t="shared" si="29"/>
        <v>4</v>
      </c>
      <c r="CV24" s="304">
        <f t="shared" si="30"/>
        <v>97</v>
      </c>
      <c r="CW24" s="304" t="str">
        <f t="shared" si="31"/>
        <v>intermediate complexity hydrodynamics</v>
      </c>
      <c r="CX24" s="304">
        <f t="shared" si="89"/>
        <v>65</v>
      </c>
      <c r="CY24" s="304" t="str">
        <f t="shared" si="32"/>
        <v>intermediate complexity water quality</v>
      </c>
      <c r="CZ24" s="216" t="s">
        <v>402</v>
      </c>
      <c r="DA24" s="252" t="str">
        <f t="shared" ref="DA24:DA35" si="115">IF(BU24&gt;0,"WASP","-")</f>
        <v>-</v>
      </c>
      <c r="DB24" s="251" t="str">
        <f t="shared" si="33"/>
        <v>intermediate complexity hydrodynamics; intermediate complexity water quality</v>
      </c>
      <c r="DC24" s="227"/>
      <c r="DD24" s="475" t="str">
        <f t="shared" si="73"/>
        <v>Alewife Cove</v>
      </c>
      <c r="DE24" s="475">
        <f t="shared" si="74"/>
        <v>18</v>
      </c>
      <c r="DF24" s="465">
        <f t="shared" si="34"/>
        <v>5.27</v>
      </c>
      <c r="DG24" s="466">
        <f t="shared" si="35"/>
        <v>0.17</v>
      </c>
      <c r="DH24" s="465">
        <f t="shared" si="36"/>
        <v>2.36</v>
      </c>
      <c r="DI24" s="465">
        <f t="shared" si="37"/>
        <v>70.900000000000006</v>
      </c>
      <c r="DJ24" s="465">
        <f t="shared" si="38"/>
        <v>33</v>
      </c>
      <c r="DK24" s="465">
        <f t="shared" si="39"/>
        <v>0.6</v>
      </c>
      <c r="DL24" s="465">
        <f t="shared" si="40"/>
        <v>0.5</v>
      </c>
      <c r="DM24" s="465">
        <f t="shared" si="41"/>
        <v>1.3</v>
      </c>
      <c r="DN24" s="465">
        <f t="shared" si="42"/>
        <v>0</v>
      </c>
      <c r="DO24" s="465">
        <f t="shared" si="43"/>
        <v>16734</v>
      </c>
      <c r="DP24" s="465">
        <f t="shared" si="44"/>
        <v>151744</v>
      </c>
      <c r="DQ24" s="467">
        <f t="shared" si="45"/>
        <v>0.91</v>
      </c>
      <c r="DR24" s="467">
        <f t="shared" si="46"/>
        <v>13</v>
      </c>
      <c r="DS24" s="467">
        <f t="shared" si="47"/>
        <v>9308</v>
      </c>
      <c r="DT24" s="467">
        <f t="shared" si="48"/>
        <v>1.8</v>
      </c>
      <c r="DU24" s="467">
        <f t="shared" si="49"/>
        <v>0.1</v>
      </c>
      <c r="DV24" s="467">
        <f t="shared" si="50"/>
        <v>20.77</v>
      </c>
      <c r="DW24" s="467">
        <f t="shared" si="51"/>
        <v>0</v>
      </c>
      <c r="DX24" s="467">
        <f t="shared" si="52"/>
        <v>100</v>
      </c>
      <c r="DY24" s="467">
        <f t="shared" si="53"/>
        <v>100</v>
      </c>
      <c r="DZ24" s="467">
        <f t="shared" si="54"/>
        <v>91</v>
      </c>
      <c r="EA24" s="467">
        <f t="shared" si="55"/>
        <v>2339</v>
      </c>
      <c r="EB24" s="467">
        <f t="shared" si="56"/>
        <v>140</v>
      </c>
      <c r="EC24" s="467">
        <f t="shared" si="57"/>
        <v>0</v>
      </c>
      <c r="ED24" s="467">
        <f t="shared" si="58"/>
        <v>3.0669999999999999E-2</v>
      </c>
      <c r="EE24" s="467">
        <f t="shared" si="59"/>
        <v>2.23</v>
      </c>
      <c r="EF24" s="138">
        <f t="shared" si="75"/>
        <v>1.45</v>
      </c>
      <c r="EG24" s="138" t="str">
        <f t="shared" si="76"/>
        <v>unlikely, too shallow</v>
      </c>
      <c r="EH24" s="138">
        <f t="shared" si="77"/>
        <v>3.12</v>
      </c>
      <c r="EI24" s="138">
        <f t="shared" si="78"/>
        <v>1.29</v>
      </c>
      <c r="EJ24" s="138">
        <f t="shared" si="79"/>
        <v>1.03</v>
      </c>
    </row>
    <row r="25" spans="1:140" ht="44" customHeight="1" x14ac:dyDescent="0.35">
      <c r="A25" s="388">
        <v>19</v>
      </c>
      <c r="B25" s="215" t="s">
        <v>420</v>
      </c>
      <c r="C25" s="210">
        <v>19</v>
      </c>
      <c r="D25" s="196"/>
      <c r="E25" s="221"/>
      <c r="F25" s="197">
        <v>114245</v>
      </c>
      <c r="G25" s="197">
        <v>715.85630000000003</v>
      </c>
      <c r="H25" s="241">
        <f t="shared" si="60"/>
        <v>159.59208573005503</v>
      </c>
      <c r="I25" s="241">
        <f t="shared" si="61"/>
        <v>4.4855375924520988</v>
      </c>
      <c r="J25" s="212">
        <v>0</v>
      </c>
      <c r="K25" s="213">
        <v>0.55000481421506398</v>
      </c>
      <c r="L25" s="213">
        <v>0.45</v>
      </c>
      <c r="M25" s="213">
        <v>1.2587999880309999</v>
      </c>
      <c r="N25" s="241">
        <f t="shared" si="95"/>
        <v>11424.5</v>
      </c>
      <c r="O25" s="221"/>
      <c r="P25" s="241">
        <f t="shared" si="62"/>
        <v>6782.3883330489934</v>
      </c>
      <c r="Q25" s="241">
        <f t="shared" si="80"/>
        <v>6782.3883330489934</v>
      </c>
      <c r="R25" s="242">
        <f t="shared" si="96"/>
        <v>0.91759997606199994</v>
      </c>
      <c r="S25" s="213">
        <v>0.45879998803099997</v>
      </c>
      <c r="T25" s="241">
        <f t="shared" si="97"/>
        <v>104831.20926520319</v>
      </c>
      <c r="U25" s="197">
        <v>3</v>
      </c>
      <c r="V25" s="243">
        <f t="shared" si="98"/>
        <v>0.64623093315845181</v>
      </c>
      <c r="W25" s="243">
        <f t="shared" si="99"/>
        <v>2.0196051013490006</v>
      </c>
      <c r="X25" s="241">
        <f t="shared" si="100"/>
        <v>209662.41853040637</v>
      </c>
      <c r="Y25" s="242">
        <f t="shared" si="101"/>
        <v>0.10897995053265264</v>
      </c>
      <c r="Z25" s="243">
        <f t="shared" si="102"/>
        <v>1.6844361365053488</v>
      </c>
      <c r="AA25" s="243">
        <f t="shared" si="103"/>
        <v>3.2349089458134694E-2</v>
      </c>
      <c r="AB25" s="245">
        <f t="shared" si="104"/>
        <v>2.8893023951280027E-2</v>
      </c>
      <c r="AC25" s="245">
        <f t="shared" si="65"/>
        <v>2.9772114594521111</v>
      </c>
      <c r="AD25" s="245">
        <f t="shared" si="105"/>
        <v>9.1759997606199999</v>
      </c>
      <c r="AE25" s="245">
        <f t="shared" si="106"/>
        <v>3.347232173098659E-2</v>
      </c>
      <c r="AF25" s="221"/>
      <c r="AG25" s="211">
        <v>-72.117093999999994</v>
      </c>
      <c r="AH25" s="242">
        <f>(AG25^2*-0.304-43.623*AG25-1561.6)*0.4012-0.2907</f>
        <v>1.0324240887790381</v>
      </c>
      <c r="AI25" s="242">
        <f t="shared" si="66"/>
        <v>1.1623130582115144</v>
      </c>
      <c r="AJ25" s="242">
        <f t="shared" si="67"/>
        <v>3.9620738607842907</v>
      </c>
      <c r="AK25" s="242">
        <f t="shared" si="68"/>
        <v>1.6321936430835906</v>
      </c>
      <c r="AL25" s="242">
        <f t="shared" si="69"/>
        <v>1.3026849538794727</v>
      </c>
      <c r="AM25" s="213">
        <v>0.45879998803099997</v>
      </c>
      <c r="AN25" s="212">
        <v>1.0000087531183</v>
      </c>
      <c r="AO25" s="212">
        <v>1.0000087531183</v>
      </c>
      <c r="AP25" s="212">
        <v>1.0000087531183</v>
      </c>
      <c r="AQ25" s="484">
        <f t="shared" si="70"/>
        <v>1.4587999880310001</v>
      </c>
      <c r="AR25" s="247" t="str">
        <f t="shared" si="84"/>
        <v>unlikely, too shallow</v>
      </c>
      <c r="AS25" s="221"/>
      <c r="AT25" s="197">
        <v>3825004</v>
      </c>
      <c r="AU25" s="197">
        <v>0</v>
      </c>
      <c r="AV25" s="197">
        <v>0</v>
      </c>
      <c r="AW25" s="197">
        <v>890.01605903624818</v>
      </c>
      <c r="AX25" s="197">
        <v>958.2218940736625</v>
      </c>
      <c r="AY25" s="197">
        <v>342.9829678152276</v>
      </c>
      <c r="AZ25" s="197">
        <v>91.396000000000001</v>
      </c>
      <c r="BA25" s="214"/>
      <c r="BB25" s="197">
        <v>2282.6169209251384</v>
      </c>
      <c r="BC25" s="241">
        <f t="shared" si="107"/>
        <v>2282.6169209251384</v>
      </c>
      <c r="BD25" s="241">
        <f t="shared" si="108"/>
        <v>199.8001593877315</v>
      </c>
      <c r="BE25" s="241">
        <f>BC25</f>
        <v>2282.6169209251384</v>
      </c>
      <c r="BF25" s="241">
        <f t="shared" si="86"/>
        <v>199.8001593877315</v>
      </c>
      <c r="BG25" s="248">
        <f>AV25/BE25*100</f>
        <v>0</v>
      </c>
      <c r="BH25" s="221"/>
      <c r="BI25" s="213">
        <f t="shared" si="71"/>
        <v>14.227102500000001</v>
      </c>
      <c r="BJ25" s="197">
        <v>56908.41</v>
      </c>
      <c r="BK25" s="213">
        <v>0</v>
      </c>
      <c r="BL25" s="197">
        <f t="shared" si="82"/>
        <v>0</v>
      </c>
      <c r="BM25" s="197" t="s">
        <v>549</v>
      </c>
      <c r="BN25" s="221"/>
      <c r="BO25" s="241">
        <f t="shared" si="109"/>
        <v>11.4245</v>
      </c>
      <c r="BP25" s="241">
        <f t="shared" si="110"/>
        <v>4.4855375924520988</v>
      </c>
      <c r="BQ25" s="242">
        <f t="shared" si="1"/>
        <v>1.2587999880309999</v>
      </c>
      <c r="BR25" s="241">
        <f t="shared" si="111"/>
        <v>3</v>
      </c>
      <c r="BS25" s="244">
        <f t="shared" si="112"/>
        <v>3.2349089458134694E-2</v>
      </c>
      <c r="BT25" s="242">
        <f t="shared" si="113"/>
        <v>2.9772114594521111</v>
      </c>
      <c r="BU25" s="241">
        <f t="shared" si="114"/>
        <v>0</v>
      </c>
      <c r="BV25" s="302"/>
      <c r="CI25" s="221"/>
      <c r="CJ25" s="303" t="str">
        <f t="shared" si="18"/>
        <v>intermediate complexity hydrodynamics</v>
      </c>
      <c r="CK25" s="304">
        <f t="shared" si="19"/>
        <v>2</v>
      </c>
      <c r="CL25" s="303" t="str">
        <f t="shared" si="20"/>
        <v>intermediate or complex water quality</v>
      </c>
      <c r="CM25" s="304">
        <f t="shared" si="21"/>
        <v>3</v>
      </c>
      <c r="CN25" s="303" t="str">
        <f t="shared" si="22"/>
        <v>shallow</v>
      </c>
      <c r="CO25" s="304">
        <f t="shared" si="23"/>
        <v>1</v>
      </c>
      <c r="CP25" s="303" t="str">
        <f t="shared" si="24"/>
        <v>very small</v>
      </c>
      <c r="CQ25" s="304">
        <f t="shared" si="25"/>
        <v>2</v>
      </c>
      <c r="CR25" s="303" t="str">
        <f t="shared" si="26"/>
        <v>very low</v>
      </c>
      <c r="CS25" s="304">
        <f t="shared" si="27"/>
        <v>1</v>
      </c>
      <c r="CT25" s="303" t="str">
        <f t="shared" si="28"/>
        <v>mouth</v>
      </c>
      <c r="CU25" s="304">
        <f t="shared" si="29"/>
        <v>4</v>
      </c>
      <c r="CV25" s="304">
        <f t="shared" si="30"/>
        <v>105</v>
      </c>
      <c r="CW25" s="304" t="str">
        <f t="shared" si="31"/>
        <v>intermediate complexity hydrodynamics</v>
      </c>
      <c r="CX25" s="304">
        <f t="shared" si="89"/>
        <v>78</v>
      </c>
      <c r="CY25" s="304" t="str">
        <f t="shared" si="32"/>
        <v>intermediate complexity water quality</v>
      </c>
      <c r="CZ25" s="216" t="s">
        <v>402</v>
      </c>
      <c r="DA25" s="252" t="str">
        <f t="shared" si="115"/>
        <v>-</v>
      </c>
      <c r="DB25" s="251" t="str">
        <f t="shared" si="33"/>
        <v>intermediate complexity hydrodynamics; intermediate complexity water quality</v>
      </c>
      <c r="DC25" s="227"/>
      <c r="DD25" s="475" t="str">
        <f t="shared" si="73"/>
        <v>Goshen Cove</v>
      </c>
      <c r="DE25" s="475">
        <f t="shared" si="74"/>
        <v>19</v>
      </c>
      <c r="DF25" s="465">
        <f t="shared" si="34"/>
        <v>3.83</v>
      </c>
      <c r="DG25" s="466">
        <f t="shared" si="35"/>
        <v>0.11</v>
      </c>
      <c r="DH25" s="465">
        <f t="shared" si="36"/>
        <v>0.72</v>
      </c>
      <c r="DI25" s="465">
        <f t="shared" si="37"/>
        <v>159.6</v>
      </c>
      <c r="DJ25" s="465">
        <f t="shared" si="38"/>
        <v>4</v>
      </c>
      <c r="DK25" s="465">
        <f t="shared" si="39"/>
        <v>0.6</v>
      </c>
      <c r="DL25" s="465">
        <f t="shared" si="40"/>
        <v>0.5</v>
      </c>
      <c r="DM25" s="465">
        <f t="shared" si="41"/>
        <v>1.3</v>
      </c>
      <c r="DN25" s="465">
        <f t="shared" si="42"/>
        <v>0</v>
      </c>
      <c r="DO25" s="465">
        <f t="shared" si="43"/>
        <v>11425</v>
      </c>
      <c r="DP25" s="465">
        <f t="shared" si="44"/>
        <v>104831</v>
      </c>
      <c r="DQ25" s="467">
        <f t="shared" si="45"/>
        <v>0.92</v>
      </c>
      <c r="DR25" s="467">
        <f t="shared" si="46"/>
        <v>3</v>
      </c>
      <c r="DS25" s="467">
        <f t="shared" si="47"/>
        <v>6782</v>
      </c>
      <c r="DT25" s="467">
        <f t="shared" si="48"/>
        <v>1.7</v>
      </c>
      <c r="DU25" s="467">
        <f t="shared" si="49"/>
        <v>0.1</v>
      </c>
      <c r="DV25" s="467">
        <f t="shared" si="50"/>
        <v>14.23</v>
      </c>
      <c r="DW25" s="467">
        <f t="shared" si="51"/>
        <v>0</v>
      </c>
      <c r="DX25" s="467">
        <f t="shared" si="52"/>
        <v>100</v>
      </c>
      <c r="DY25" s="467">
        <f t="shared" si="53"/>
        <v>100</v>
      </c>
      <c r="DZ25" s="467">
        <f t="shared" si="54"/>
        <v>100</v>
      </c>
      <c r="EA25" s="467">
        <f t="shared" si="55"/>
        <v>2283</v>
      </c>
      <c r="EB25" s="467">
        <f t="shared" si="56"/>
        <v>200</v>
      </c>
      <c r="EC25" s="467">
        <f t="shared" si="57"/>
        <v>0</v>
      </c>
      <c r="ED25" s="467">
        <f t="shared" si="58"/>
        <v>3.2349999999999997E-2</v>
      </c>
      <c r="EE25" s="467">
        <f t="shared" si="59"/>
        <v>2.98</v>
      </c>
      <c r="EF25" s="138">
        <f t="shared" si="75"/>
        <v>1.46</v>
      </c>
      <c r="EG25" s="138" t="str">
        <f t="shared" si="76"/>
        <v>unlikely, too shallow</v>
      </c>
      <c r="EH25" s="138">
        <f t="shared" si="77"/>
        <v>3.96</v>
      </c>
      <c r="EI25" s="138">
        <f t="shared" si="78"/>
        <v>1.63</v>
      </c>
      <c r="EJ25" s="138">
        <f t="shared" si="79"/>
        <v>1.3</v>
      </c>
    </row>
    <row r="26" spans="1:140" ht="44" customHeight="1" x14ac:dyDescent="0.35">
      <c r="A26" s="388">
        <v>20</v>
      </c>
      <c r="B26" s="215" t="s">
        <v>421</v>
      </c>
      <c r="C26" s="210">
        <v>20</v>
      </c>
      <c r="D26" s="196"/>
      <c r="E26" s="221"/>
      <c r="F26" s="197">
        <v>545603</v>
      </c>
      <c r="G26" s="197">
        <v>3225.886</v>
      </c>
      <c r="H26" s="241">
        <f t="shared" si="60"/>
        <v>169.13275918615847</v>
      </c>
      <c r="I26" s="241">
        <f t="shared" si="61"/>
        <v>19.073099827156376</v>
      </c>
      <c r="J26" s="212">
        <v>0.36113987643029821</v>
      </c>
      <c r="K26" s="213">
        <v>0.76668795809407198</v>
      </c>
      <c r="L26" s="213">
        <v>0.65</v>
      </c>
      <c r="M26" s="213">
        <v>3.76</v>
      </c>
      <c r="N26" s="241">
        <f t="shared" si="95"/>
        <v>167548.11034122083</v>
      </c>
      <c r="O26" s="221"/>
      <c r="P26" s="241">
        <f t="shared" si="62"/>
        <v>56367.033125008726</v>
      </c>
      <c r="Q26" s="241">
        <f t="shared" si="80"/>
        <v>56367.033125008726</v>
      </c>
      <c r="R26" s="242">
        <f t="shared" si="96"/>
        <v>0.91920000314799999</v>
      </c>
      <c r="S26" s="213">
        <v>0.45960000157399999</v>
      </c>
      <c r="T26" s="241">
        <f t="shared" si="97"/>
        <v>501518.27931755822</v>
      </c>
      <c r="U26" s="197">
        <v>4</v>
      </c>
      <c r="V26" s="243">
        <f t="shared" si="98"/>
        <v>2.5409386004514349</v>
      </c>
      <c r="W26" s="243">
        <f t="shared" si="99"/>
        <v>7.9976449164097163</v>
      </c>
      <c r="X26" s="241">
        <f t="shared" si="100"/>
        <v>1003036.5586351164</v>
      </c>
      <c r="Y26" s="242">
        <f t="shared" si="101"/>
        <v>0.33408176182374089</v>
      </c>
      <c r="Z26" s="243">
        <f t="shared" si="102"/>
        <v>2.9724486291417684</v>
      </c>
      <c r="AA26" s="243">
        <f t="shared" si="103"/>
        <v>5.6196389493230692E-2</v>
      </c>
      <c r="AB26" s="245">
        <f t="shared" si="104"/>
        <v>2.3801584260608386E-2</v>
      </c>
      <c r="AC26" s="245">
        <f t="shared" si="65"/>
        <v>1.4118098140732855</v>
      </c>
      <c r="AD26" s="245">
        <f t="shared" si="105"/>
        <v>2.9932792336254286</v>
      </c>
      <c r="AE26" s="245">
        <f t="shared" si="106"/>
        <v>5.8147653017301196E-2</v>
      </c>
      <c r="AF26" s="221"/>
      <c r="AG26" s="211">
        <v>-72.150864999999996</v>
      </c>
      <c r="AH26" s="242">
        <f>(AG26^2*-0.304-43.623*AG26-1561.6)*0.4012-0.2907</f>
        <v>1.0292474140632517</v>
      </c>
      <c r="AI26" s="242">
        <f t="shared" si="66"/>
        <v>1.1659004274420792</v>
      </c>
      <c r="AJ26" s="242">
        <f t="shared" si="67"/>
        <v>3.9498829210411892</v>
      </c>
      <c r="AK26" s="242">
        <f t="shared" si="68"/>
        <v>1.6271715321762572</v>
      </c>
      <c r="AL26" s="242">
        <f t="shared" si="69"/>
        <v>1.2986767111422093</v>
      </c>
      <c r="AM26" s="213">
        <v>0.45960000157399999</v>
      </c>
      <c r="AN26" s="212">
        <v>1.00000733133799</v>
      </c>
      <c r="AO26" s="212">
        <v>0.95988067840128799</v>
      </c>
      <c r="AP26" s="212">
        <v>0.95988067840128799</v>
      </c>
      <c r="AQ26" s="484">
        <f t="shared" si="70"/>
        <v>1.459600001574</v>
      </c>
      <c r="AR26" s="247" t="str">
        <f t="shared" si="84"/>
        <v>marginally possible now</v>
      </c>
      <c r="AS26" s="221"/>
      <c r="AT26" s="197">
        <v>32476090</v>
      </c>
      <c r="AU26" s="197">
        <v>0</v>
      </c>
      <c r="AV26" s="197">
        <v>0</v>
      </c>
      <c r="AW26" s="197">
        <v>3138.854022134733</v>
      </c>
      <c r="AX26" s="197">
        <v>3310.8143006390123</v>
      </c>
      <c r="AY26" s="197">
        <v>2317.5008843997293</v>
      </c>
      <c r="AZ26" s="197">
        <v>436.48240000000004</v>
      </c>
      <c r="BA26" s="214"/>
      <c r="BB26" s="197">
        <v>9203.6516071734732</v>
      </c>
      <c r="BC26" s="241">
        <f t="shared" si="107"/>
        <v>9203.6516071734732</v>
      </c>
      <c r="BD26" s="241">
        <f t="shared" si="108"/>
        <v>168.68770162872042</v>
      </c>
      <c r="BE26" s="241">
        <f>BC26</f>
        <v>9203.6516071734732</v>
      </c>
      <c r="BF26" s="241">
        <f t="shared" si="86"/>
        <v>168.68770162872042</v>
      </c>
      <c r="BG26" s="248">
        <f>AV26/BE26*100</f>
        <v>0</v>
      </c>
      <c r="BH26" s="221"/>
      <c r="BI26" s="213">
        <f t="shared" si="71"/>
        <v>5.0566374999999999</v>
      </c>
      <c r="BJ26" s="197">
        <v>20226.55</v>
      </c>
      <c r="BK26" s="213">
        <v>0</v>
      </c>
      <c r="BL26" s="197">
        <f t="shared" si="82"/>
        <v>0</v>
      </c>
      <c r="BM26" s="197" t="s">
        <v>549</v>
      </c>
      <c r="BN26" s="221"/>
      <c r="BO26" s="241">
        <f t="shared" si="109"/>
        <v>54.560299999999998</v>
      </c>
      <c r="BP26" s="241">
        <f t="shared" si="110"/>
        <v>19.073099827156376</v>
      </c>
      <c r="BQ26" s="242">
        <f t="shared" si="1"/>
        <v>3.76</v>
      </c>
      <c r="BR26" s="241">
        <f t="shared" si="111"/>
        <v>4</v>
      </c>
      <c r="BS26" s="244">
        <f t="shared" si="112"/>
        <v>5.6196389493230692E-2</v>
      </c>
      <c r="BT26" s="242">
        <f t="shared" si="113"/>
        <v>1.4118098140732855</v>
      </c>
      <c r="BU26" s="241">
        <f t="shared" si="114"/>
        <v>0</v>
      </c>
      <c r="BV26" s="221"/>
      <c r="CI26" s="221"/>
      <c r="CJ26" s="303" t="str">
        <f t="shared" si="18"/>
        <v>complex hydrodynamics</v>
      </c>
      <c r="CK26" s="304">
        <f t="shared" si="19"/>
        <v>3</v>
      </c>
      <c r="CL26" s="303" t="str">
        <f t="shared" si="20"/>
        <v>intermediate complexity water quality</v>
      </c>
      <c r="CM26" s="304">
        <f t="shared" si="21"/>
        <v>2</v>
      </c>
      <c r="CN26" s="303" t="str">
        <f t="shared" si="22"/>
        <v>moderate</v>
      </c>
      <c r="CO26" s="304">
        <f t="shared" si="23"/>
        <v>2</v>
      </c>
      <c r="CP26" s="303" t="str">
        <f t="shared" si="24"/>
        <v>mid-size</v>
      </c>
      <c r="CQ26" s="304">
        <f t="shared" si="25"/>
        <v>4</v>
      </c>
      <c r="CR26" s="303" t="str">
        <f t="shared" si="26"/>
        <v>low</v>
      </c>
      <c r="CS26" s="304">
        <f t="shared" si="27"/>
        <v>2</v>
      </c>
      <c r="CT26" s="303" t="str">
        <f t="shared" si="28"/>
        <v>multiple</v>
      </c>
      <c r="CU26" s="304">
        <f t="shared" si="29"/>
        <v>5</v>
      </c>
      <c r="CV26" s="304">
        <f t="shared" si="30"/>
        <v>147</v>
      </c>
      <c r="CW26" s="304" t="str">
        <f t="shared" si="31"/>
        <v>complex hydrodynamics</v>
      </c>
      <c r="CX26" s="304">
        <f t="shared" si="89"/>
        <v>93</v>
      </c>
      <c r="CY26" s="304" t="str">
        <f t="shared" si="32"/>
        <v>intermediate complexity water quality</v>
      </c>
      <c r="CZ26" s="216" t="s">
        <v>402</v>
      </c>
      <c r="DA26" s="252" t="str">
        <f t="shared" si="115"/>
        <v>-</v>
      </c>
      <c r="DB26" s="251" t="str">
        <f t="shared" si="33"/>
        <v>complex hydrodynamics; intermediate complexity water quality</v>
      </c>
      <c r="DC26" s="227"/>
      <c r="DD26" s="475" t="str">
        <f t="shared" si="73"/>
        <v>Jordan Cove</v>
      </c>
      <c r="DE26" s="475">
        <f t="shared" si="74"/>
        <v>20</v>
      </c>
      <c r="DF26" s="465">
        <f t="shared" si="34"/>
        <v>32.479999999999997</v>
      </c>
      <c r="DG26" s="466">
        <f t="shared" si="35"/>
        <v>0.55000000000000004</v>
      </c>
      <c r="DH26" s="465">
        <f t="shared" si="36"/>
        <v>3.23</v>
      </c>
      <c r="DI26" s="465">
        <f t="shared" si="37"/>
        <v>169.1</v>
      </c>
      <c r="DJ26" s="465">
        <f t="shared" si="38"/>
        <v>19</v>
      </c>
      <c r="DK26" s="465">
        <f t="shared" si="39"/>
        <v>0.8</v>
      </c>
      <c r="DL26" s="465">
        <f t="shared" si="40"/>
        <v>0.7</v>
      </c>
      <c r="DM26" s="465">
        <f t="shared" si="41"/>
        <v>3.8</v>
      </c>
      <c r="DN26" s="465">
        <f t="shared" si="42"/>
        <v>36</v>
      </c>
      <c r="DO26" s="465">
        <f t="shared" si="43"/>
        <v>167548</v>
      </c>
      <c r="DP26" s="465">
        <f t="shared" si="44"/>
        <v>501518</v>
      </c>
      <c r="DQ26" s="467">
        <f t="shared" si="45"/>
        <v>0.92</v>
      </c>
      <c r="DR26" s="467">
        <f t="shared" si="46"/>
        <v>4</v>
      </c>
      <c r="DS26" s="467">
        <f t="shared" si="47"/>
        <v>56367</v>
      </c>
      <c r="DT26" s="467">
        <f t="shared" si="48"/>
        <v>3</v>
      </c>
      <c r="DU26" s="467">
        <f t="shared" si="49"/>
        <v>0.3</v>
      </c>
      <c r="DV26" s="467">
        <f t="shared" si="50"/>
        <v>5.0599999999999996</v>
      </c>
      <c r="DW26" s="467">
        <f t="shared" si="51"/>
        <v>0</v>
      </c>
      <c r="DX26" s="467">
        <f t="shared" si="52"/>
        <v>100</v>
      </c>
      <c r="DY26" s="467">
        <f t="shared" si="53"/>
        <v>96</v>
      </c>
      <c r="DZ26" s="467">
        <f t="shared" si="54"/>
        <v>96</v>
      </c>
      <c r="EA26" s="467">
        <f t="shared" si="55"/>
        <v>9204</v>
      </c>
      <c r="EB26" s="467">
        <f t="shared" si="56"/>
        <v>169</v>
      </c>
      <c r="EC26" s="467">
        <f t="shared" si="57"/>
        <v>0</v>
      </c>
      <c r="ED26" s="467">
        <f t="shared" si="58"/>
        <v>5.62E-2</v>
      </c>
      <c r="EE26" s="467">
        <f t="shared" si="59"/>
        <v>1.41</v>
      </c>
      <c r="EF26" s="138">
        <f t="shared" si="75"/>
        <v>1.46</v>
      </c>
      <c r="EG26" s="138" t="str">
        <f t="shared" si="76"/>
        <v>marginally possible now</v>
      </c>
      <c r="EH26" s="138">
        <f t="shared" si="77"/>
        <v>3.95</v>
      </c>
      <c r="EI26" s="138">
        <f t="shared" si="78"/>
        <v>1.63</v>
      </c>
      <c r="EJ26" s="138">
        <f t="shared" si="79"/>
        <v>1.3</v>
      </c>
    </row>
    <row r="27" spans="1:140" ht="44" customHeight="1" x14ac:dyDescent="0.35">
      <c r="A27" s="388">
        <v>21</v>
      </c>
      <c r="B27" s="215" t="s">
        <v>422</v>
      </c>
      <c r="C27" s="210">
        <v>21</v>
      </c>
      <c r="D27" s="196"/>
      <c r="E27" s="221"/>
      <c r="F27" s="197">
        <v>13704</v>
      </c>
      <c r="G27" s="197">
        <v>471.05579999999998</v>
      </c>
      <c r="H27" s="241">
        <f t="shared" si="60"/>
        <v>29.092094821887343</v>
      </c>
      <c r="I27" s="241">
        <f t="shared" si="61"/>
        <v>16.191883151900175</v>
      </c>
      <c r="J27" s="212">
        <v>0</v>
      </c>
      <c r="K27" s="213">
        <v>0.55008026853473402</v>
      </c>
      <c r="L27" s="213">
        <v>0.45</v>
      </c>
      <c r="M27" s="213">
        <v>1.267700004578</v>
      </c>
      <c r="N27" s="241">
        <f t="shared" si="95"/>
        <v>1370.4</v>
      </c>
      <c r="O27" s="221"/>
      <c r="P27" s="241">
        <f t="shared" si="62"/>
        <v>151.85584767348686</v>
      </c>
      <c r="Q27" s="241">
        <f t="shared" si="80"/>
        <v>151.85584767348686</v>
      </c>
      <c r="R27" s="242">
        <f t="shared" si="96"/>
        <v>0.93540000915599997</v>
      </c>
      <c r="S27" s="213">
        <v>0.46770000457799998</v>
      </c>
      <c r="T27" s="241">
        <f t="shared" si="97"/>
        <v>12818.721725473824</v>
      </c>
      <c r="U27" s="197">
        <v>3</v>
      </c>
      <c r="V27" s="243">
        <f t="shared" si="98"/>
        <v>0.42398801404949421</v>
      </c>
      <c r="W27" s="243">
        <f t="shared" si="99"/>
        <v>1.3248827585668745</v>
      </c>
      <c r="X27" s="241">
        <f t="shared" si="100"/>
        <v>25637.443450947649</v>
      </c>
      <c r="Y27" s="242">
        <f t="shared" si="101"/>
        <v>0.10690613536579797</v>
      </c>
      <c r="Z27" s="243">
        <f t="shared" si="102"/>
        <v>9.024347899638137</v>
      </c>
      <c r="AA27" s="243">
        <f t="shared" si="103"/>
        <v>5.9232055631457175E-3</v>
      </c>
      <c r="AB27" s="245">
        <f t="shared" si="104"/>
        <v>3.3177448134407328E-3</v>
      </c>
      <c r="AC27" s="245">
        <f t="shared" si="65"/>
        <v>1.8670885655135769</v>
      </c>
      <c r="AD27" s="245">
        <f t="shared" si="105"/>
        <v>9.3540000915599997</v>
      </c>
      <c r="AE27" s="245">
        <f t="shared" si="106"/>
        <v>6.1288724229771659E-3</v>
      </c>
      <c r="AF27" s="221"/>
      <c r="AG27" s="211">
        <v>-72.160346000000004</v>
      </c>
      <c r="AH27" s="242">
        <f>(AG27^2*-0.304-43.623*AG27-1561.6)*0.4012-0.2907</f>
        <v>1.0283055678505646</v>
      </c>
      <c r="AI27" s="242">
        <f t="shared" si="66"/>
        <v>1.1669682996157678</v>
      </c>
      <c r="AJ27" s="242">
        <f t="shared" si="67"/>
        <v>3.9462684526258123</v>
      </c>
      <c r="AK27" s="242">
        <f t="shared" si="68"/>
        <v>1.6256825361156091</v>
      </c>
      <c r="AL27" s="242">
        <f t="shared" si="69"/>
        <v>1.2974883149167911</v>
      </c>
      <c r="AM27" s="213">
        <v>0.46770000457799998</v>
      </c>
      <c r="AN27" s="212">
        <v>1.00014594279043</v>
      </c>
      <c r="AO27" s="212">
        <v>1.00014594279043</v>
      </c>
      <c r="AP27" s="212">
        <v>1.00014594279043</v>
      </c>
      <c r="AQ27" s="484">
        <f t="shared" si="70"/>
        <v>1.467700004578</v>
      </c>
      <c r="AR27" s="247" t="str">
        <f t="shared" si="84"/>
        <v>unlikely, too shallow</v>
      </c>
      <c r="AS27" s="221"/>
      <c r="AT27" s="197">
        <v>82416.58</v>
      </c>
      <c r="AU27" s="197">
        <v>0</v>
      </c>
      <c r="AV27" s="197">
        <v>0</v>
      </c>
      <c r="AW27" s="197">
        <v>9.0318098810288614</v>
      </c>
      <c r="AX27" s="197">
        <v>1.3561941161394171</v>
      </c>
      <c r="AY27" s="197">
        <v>9.8790406092806382</v>
      </c>
      <c r="AZ27" s="197">
        <v>10.963200000000001</v>
      </c>
      <c r="BA27" s="214"/>
      <c r="BB27" s="197">
        <v>31.230244606448913</v>
      </c>
      <c r="BC27" s="241">
        <f t="shared" si="107"/>
        <v>31.230244606448913</v>
      </c>
      <c r="BD27" s="241">
        <f t="shared" si="108"/>
        <v>22.789145217782334</v>
      </c>
      <c r="BE27" s="241">
        <f>BC27</f>
        <v>31.230244606448913</v>
      </c>
      <c r="BF27" s="241">
        <f t="shared" si="86"/>
        <v>22.789145217782334</v>
      </c>
      <c r="BG27" s="248">
        <f>AV27/BE27*100</f>
        <v>0</v>
      </c>
      <c r="BH27" s="221"/>
      <c r="BI27" s="213">
        <f t="shared" si="71"/>
        <v>3.2224724999999999</v>
      </c>
      <c r="BJ27" s="197">
        <v>12889.89</v>
      </c>
      <c r="BK27" s="213">
        <v>0</v>
      </c>
      <c r="BL27" s="197">
        <f t="shared" si="82"/>
        <v>0</v>
      </c>
      <c r="BM27" s="197" t="s">
        <v>549</v>
      </c>
      <c r="BN27" s="221"/>
      <c r="BO27" s="241">
        <f t="shared" si="109"/>
        <v>1.3704000000000001</v>
      </c>
      <c r="BP27" s="241">
        <f t="shared" si="110"/>
        <v>16.191883151900175</v>
      </c>
      <c r="BQ27" s="242">
        <f t="shared" si="1"/>
        <v>1.267700004578</v>
      </c>
      <c r="BR27" s="241">
        <f t="shared" si="111"/>
        <v>3</v>
      </c>
      <c r="BS27" s="244">
        <f t="shared" si="112"/>
        <v>5.9232055631457175E-3</v>
      </c>
      <c r="BT27" s="242">
        <f t="shared" si="113"/>
        <v>1.8670885655135769</v>
      </c>
      <c r="BU27" s="241">
        <f t="shared" si="114"/>
        <v>0</v>
      </c>
      <c r="BV27" s="221"/>
      <c r="CI27" s="221"/>
      <c r="CJ27" s="303" t="str">
        <f t="shared" si="18"/>
        <v>intermediate complexity hydrodynamics</v>
      </c>
      <c r="CK27" s="304">
        <f t="shared" si="19"/>
        <v>2</v>
      </c>
      <c r="CL27" s="303" t="str">
        <f t="shared" si="20"/>
        <v>intermediate complexity water quality</v>
      </c>
      <c r="CM27" s="304">
        <f t="shared" si="21"/>
        <v>2</v>
      </c>
      <c r="CN27" s="303" t="str">
        <f t="shared" si="22"/>
        <v>shallow</v>
      </c>
      <c r="CO27" s="304">
        <f t="shared" si="23"/>
        <v>1</v>
      </c>
      <c r="CP27" s="303" t="str">
        <f t="shared" si="24"/>
        <v>tiny</v>
      </c>
      <c r="CQ27" s="304">
        <f t="shared" si="25"/>
        <v>1</v>
      </c>
      <c r="CR27" s="303" t="str">
        <f t="shared" si="26"/>
        <v>low</v>
      </c>
      <c r="CS27" s="304">
        <f t="shared" si="27"/>
        <v>2</v>
      </c>
      <c r="CT27" s="303" t="str">
        <f t="shared" si="28"/>
        <v>mouth</v>
      </c>
      <c r="CU27" s="304">
        <f t="shared" si="29"/>
        <v>4</v>
      </c>
      <c r="CV27" s="304">
        <f t="shared" si="30"/>
        <v>86</v>
      </c>
      <c r="CW27" s="304" t="str">
        <f t="shared" si="31"/>
        <v>simple complexity hydrodynamics</v>
      </c>
      <c r="CX27" s="304">
        <f t="shared" si="89"/>
        <v>60</v>
      </c>
      <c r="CY27" s="304" t="str">
        <f t="shared" si="32"/>
        <v>intermediate complexity water quality</v>
      </c>
      <c r="CZ27" s="216" t="s">
        <v>639</v>
      </c>
      <c r="DA27" s="252" t="str">
        <f t="shared" si="115"/>
        <v>-</v>
      </c>
      <c r="DB27" s="251" t="str">
        <f t="shared" si="33"/>
        <v>simple complexity hydrodynamics; intermediate complexity water quality</v>
      </c>
      <c r="DC27" s="227"/>
      <c r="DD27" s="475" t="str">
        <f t="shared" si="73"/>
        <v>Gardners Pond</v>
      </c>
      <c r="DE27" s="475">
        <f t="shared" si="74"/>
        <v>21</v>
      </c>
      <c r="DF27" s="465">
        <f t="shared" si="34"/>
        <v>0.08</v>
      </c>
      <c r="DG27" s="466">
        <f t="shared" si="35"/>
        <v>0.01</v>
      </c>
      <c r="DH27" s="465">
        <f t="shared" si="36"/>
        <v>0.47</v>
      </c>
      <c r="DI27" s="465">
        <f t="shared" si="37"/>
        <v>29.1</v>
      </c>
      <c r="DJ27" s="465">
        <f t="shared" si="38"/>
        <v>16</v>
      </c>
      <c r="DK27" s="465">
        <f t="shared" si="39"/>
        <v>0.6</v>
      </c>
      <c r="DL27" s="465">
        <f t="shared" si="40"/>
        <v>0.5</v>
      </c>
      <c r="DM27" s="465">
        <f t="shared" si="41"/>
        <v>1.3</v>
      </c>
      <c r="DN27" s="465">
        <f t="shared" si="42"/>
        <v>0</v>
      </c>
      <c r="DO27" s="465">
        <f t="shared" si="43"/>
        <v>1370</v>
      </c>
      <c r="DP27" s="465">
        <f t="shared" si="44"/>
        <v>12819</v>
      </c>
      <c r="DQ27" s="467">
        <f t="shared" si="45"/>
        <v>0.94</v>
      </c>
      <c r="DR27" s="467">
        <f t="shared" si="46"/>
        <v>3</v>
      </c>
      <c r="DS27" s="467">
        <f t="shared" si="47"/>
        <v>152</v>
      </c>
      <c r="DT27" s="467">
        <f t="shared" si="48"/>
        <v>9</v>
      </c>
      <c r="DU27" s="467">
        <f t="shared" si="49"/>
        <v>0.1</v>
      </c>
      <c r="DV27" s="467">
        <f t="shared" si="50"/>
        <v>3.22</v>
      </c>
      <c r="DW27" s="467">
        <f t="shared" si="51"/>
        <v>0</v>
      </c>
      <c r="DX27" s="467">
        <f t="shared" si="52"/>
        <v>100</v>
      </c>
      <c r="DY27" s="467">
        <f t="shared" si="53"/>
        <v>100</v>
      </c>
      <c r="DZ27" s="467">
        <f t="shared" si="54"/>
        <v>100</v>
      </c>
      <c r="EA27" s="467">
        <f t="shared" si="55"/>
        <v>31</v>
      </c>
      <c r="EB27" s="467">
        <f t="shared" si="56"/>
        <v>23</v>
      </c>
      <c r="EC27" s="467">
        <f t="shared" si="57"/>
        <v>0</v>
      </c>
      <c r="ED27" s="467">
        <f t="shared" si="58"/>
        <v>5.9199999999999999E-3</v>
      </c>
      <c r="EE27" s="467">
        <f t="shared" si="59"/>
        <v>1.87</v>
      </c>
      <c r="EF27" s="138">
        <f t="shared" si="75"/>
        <v>1.47</v>
      </c>
      <c r="EG27" s="138" t="str">
        <f t="shared" si="76"/>
        <v>unlikely, too shallow</v>
      </c>
      <c r="EH27" s="138">
        <f t="shared" si="77"/>
        <v>3.95</v>
      </c>
      <c r="EI27" s="138">
        <f t="shared" si="78"/>
        <v>1.63</v>
      </c>
      <c r="EJ27" s="138">
        <f t="shared" si="79"/>
        <v>1.3</v>
      </c>
    </row>
    <row r="28" spans="1:140" s="275" customFormat="1" ht="44" customHeight="1" x14ac:dyDescent="0.35">
      <c r="A28" s="389">
        <v>22</v>
      </c>
      <c r="B28" s="281" t="s">
        <v>423</v>
      </c>
      <c r="C28" s="257">
        <v>22</v>
      </c>
      <c r="D28" s="256" t="s">
        <v>398</v>
      </c>
      <c r="E28" s="258"/>
      <c r="F28" s="259">
        <v>3210101</v>
      </c>
      <c r="G28" s="259">
        <v>6566.8280000000004</v>
      </c>
      <c r="H28" s="260">
        <f t="shared" si="60"/>
        <v>488.8358580428785</v>
      </c>
      <c r="I28" s="260">
        <f t="shared" si="61"/>
        <v>13.433605354343682</v>
      </c>
      <c r="J28" s="261">
        <v>1</v>
      </c>
      <c r="K28" s="262">
        <v>2.03690476190476</v>
      </c>
      <c r="L28" s="262">
        <v>1.55</v>
      </c>
      <c r="M28" s="262">
        <v>6.17</v>
      </c>
      <c r="N28" s="260">
        <f t="shared" si="95"/>
        <v>5040194.8526715636</v>
      </c>
      <c r="O28" s="258"/>
      <c r="P28" s="260">
        <f t="shared" si="62"/>
        <v>125855.0797523786</v>
      </c>
      <c r="Q28" s="260">
        <f t="shared" si="80"/>
        <v>125855.0797523786</v>
      </c>
      <c r="R28" s="263">
        <f t="shared" si="96"/>
        <v>0.93360000848799995</v>
      </c>
      <c r="S28" s="262">
        <v>0.46680000424399998</v>
      </c>
      <c r="T28" s="260">
        <f t="shared" si="97"/>
        <v>2996950.3208473371</v>
      </c>
      <c r="U28" s="259">
        <v>3</v>
      </c>
      <c r="V28" s="264">
        <f t="shared" si="98"/>
        <v>4.3827139332292395</v>
      </c>
      <c r="W28" s="264">
        <f t="shared" si="99"/>
        <v>13.944739201175532</v>
      </c>
      <c r="X28" s="260">
        <f t="shared" si="100"/>
        <v>5993900.6416946743</v>
      </c>
      <c r="Y28" s="263">
        <f t="shared" si="101"/>
        <v>1.6817745751776538</v>
      </c>
      <c r="Z28" s="264">
        <f t="shared" si="102"/>
        <v>40.047607634020082</v>
      </c>
      <c r="AA28" s="264">
        <f t="shared" si="103"/>
        <v>2.0997191524481994E-2</v>
      </c>
      <c r="AB28" s="266">
        <f t="shared" si="104"/>
        <v>8.072955975451504E-3</v>
      </c>
      <c r="AC28" s="266">
        <f t="shared" si="65"/>
        <v>1.2815929797148853</v>
      </c>
      <c r="AD28" s="266">
        <f t="shared" si="105"/>
        <v>0.59461001180515838</v>
      </c>
      <c r="AE28" s="266">
        <f t="shared" si="106"/>
        <v>2.1726260674637617E-2</v>
      </c>
      <c r="AF28" s="258"/>
      <c r="AG28" s="267">
        <v>-72.177891000000002</v>
      </c>
      <c r="AH28" s="277">
        <v>1.3073834513451104</v>
      </c>
      <c r="AI28" s="277">
        <f t="shared" si="66"/>
        <v>0.91786384382131481</v>
      </c>
      <c r="AJ28" s="277">
        <f t="shared" si="67"/>
        <v>5.0172694098239292</v>
      </c>
      <c r="AK28" s="277">
        <f t="shared" si="68"/>
        <v>2.0668860612132396</v>
      </c>
      <c r="AL28" s="277">
        <f t="shared" si="69"/>
        <v>1.6496212840523854</v>
      </c>
      <c r="AM28" s="278">
        <v>0.46680000424399998</v>
      </c>
      <c r="AN28" s="261">
        <v>0.97023809523809501</v>
      </c>
      <c r="AO28" s="261">
        <v>0.63095238095238104</v>
      </c>
      <c r="AP28" s="261">
        <v>0.49404761904761901</v>
      </c>
      <c r="AQ28" s="481">
        <f t="shared" si="70"/>
        <v>1.4668000042439999</v>
      </c>
      <c r="AR28" s="268" t="str">
        <f t="shared" si="84"/>
        <v>currently present, field verified</v>
      </c>
      <c r="AS28" s="258"/>
      <c r="AT28" s="259">
        <v>73102630</v>
      </c>
      <c r="AU28" s="259">
        <v>0</v>
      </c>
      <c r="AV28" s="259">
        <v>0</v>
      </c>
      <c r="AW28" s="259">
        <v>4620.448006821216</v>
      </c>
      <c r="AX28" s="259">
        <v>5872.0876612619177</v>
      </c>
      <c r="AY28" s="259">
        <v>4972.0327916290889</v>
      </c>
      <c r="AZ28" s="259">
        <v>2568.0808000000002</v>
      </c>
      <c r="BA28" s="269"/>
      <c r="BB28" s="259">
        <v>18032.649259712223</v>
      </c>
      <c r="BC28" s="260">
        <f t="shared" si="107"/>
        <v>18032.649259712223</v>
      </c>
      <c r="BD28" s="260">
        <f t="shared" si="108"/>
        <v>56.17470995371243</v>
      </c>
      <c r="BE28" s="260">
        <f>BC28</f>
        <v>18032.649259712223</v>
      </c>
      <c r="BF28" s="260">
        <f t="shared" si="86"/>
        <v>56.17470995371243</v>
      </c>
      <c r="BG28" s="270">
        <f>AV28/BE28*100</f>
        <v>0</v>
      </c>
      <c r="BH28" s="258"/>
      <c r="BI28" s="262">
        <f t="shared" si="71"/>
        <v>0</v>
      </c>
      <c r="BJ28" s="259">
        <v>0</v>
      </c>
      <c r="BK28" s="262">
        <f>14.07+0.85+13.5+6.65</f>
        <v>35.07</v>
      </c>
      <c r="BL28" s="259">
        <f t="shared" si="82"/>
        <v>141923.38020000001</v>
      </c>
      <c r="BM28" s="259" t="s">
        <v>551</v>
      </c>
      <c r="BN28" s="258"/>
      <c r="BO28" s="260">
        <f t="shared" si="109"/>
        <v>321.01010000000002</v>
      </c>
      <c r="BP28" s="260">
        <f t="shared" si="110"/>
        <v>13.433605354343682</v>
      </c>
      <c r="BQ28" s="263">
        <f t="shared" si="1"/>
        <v>6.17</v>
      </c>
      <c r="BR28" s="260">
        <f t="shared" si="111"/>
        <v>3</v>
      </c>
      <c r="BS28" s="265">
        <f t="shared" si="112"/>
        <v>2.0997191524481994E-2</v>
      </c>
      <c r="BT28" s="263">
        <f t="shared" si="113"/>
        <v>1.2815929797148853</v>
      </c>
      <c r="BU28" s="260">
        <f t="shared" si="114"/>
        <v>0</v>
      </c>
      <c r="BV28" s="258"/>
      <c r="BW28" s="138"/>
      <c r="BX28" s="138"/>
      <c r="BY28" s="138"/>
      <c r="BZ28" s="138"/>
      <c r="CA28" s="138"/>
      <c r="CB28" s="138"/>
      <c r="CC28" s="138"/>
      <c r="CD28" s="138"/>
      <c r="CE28" s="138"/>
      <c r="CF28" s="138"/>
      <c r="CG28" s="138"/>
      <c r="CH28" s="138"/>
      <c r="CI28" s="258"/>
      <c r="CJ28" s="312" t="str">
        <f t="shared" si="18"/>
        <v>intermediate complexity hydrodynamics</v>
      </c>
      <c r="CK28" s="313">
        <f t="shared" si="19"/>
        <v>2</v>
      </c>
      <c r="CL28" s="312" t="str">
        <f t="shared" si="20"/>
        <v>intermediate complexity water quality</v>
      </c>
      <c r="CM28" s="313">
        <f t="shared" si="21"/>
        <v>2</v>
      </c>
      <c r="CN28" s="312" t="str">
        <f t="shared" si="22"/>
        <v>moderate</v>
      </c>
      <c r="CO28" s="313">
        <f t="shared" si="23"/>
        <v>2</v>
      </c>
      <c r="CP28" s="312" t="str">
        <f t="shared" si="24"/>
        <v>mid-size</v>
      </c>
      <c r="CQ28" s="313">
        <f t="shared" si="25"/>
        <v>4</v>
      </c>
      <c r="CR28" s="312" t="str">
        <f t="shared" si="26"/>
        <v>low</v>
      </c>
      <c r="CS28" s="313">
        <f t="shared" si="27"/>
        <v>2</v>
      </c>
      <c r="CT28" s="312" t="str">
        <f t="shared" si="28"/>
        <v>mouth</v>
      </c>
      <c r="CU28" s="313">
        <f t="shared" si="29"/>
        <v>4</v>
      </c>
      <c r="CV28" s="313">
        <f t="shared" si="30"/>
        <v>126</v>
      </c>
      <c r="CW28" s="313" t="str">
        <f t="shared" si="31"/>
        <v>intermediate complexity hydrodynamics</v>
      </c>
      <c r="CX28" s="313">
        <f t="shared" si="89"/>
        <v>92</v>
      </c>
      <c r="CY28" s="313" t="str">
        <f t="shared" si="32"/>
        <v>intermediate complexity water quality</v>
      </c>
      <c r="CZ28" s="273" t="s">
        <v>402</v>
      </c>
      <c r="DA28" s="272" t="str">
        <f t="shared" si="115"/>
        <v>-</v>
      </c>
      <c r="DB28" s="271" t="str">
        <f t="shared" si="33"/>
        <v>intermediate complexity hydrodynamics; intermediate complexity water quality</v>
      </c>
      <c r="DC28" s="274"/>
      <c r="DD28" s="475" t="str">
        <f t="shared" si="73"/>
        <v>Niantic River</v>
      </c>
      <c r="DE28" s="475">
        <f t="shared" si="74"/>
        <v>22</v>
      </c>
      <c r="DF28" s="464">
        <f t="shared" si="34"/>
        <v>73.099999999999994</v>
      </c>
      <c r="DG28" s="479">
        <f t="shared" si="35"/>
        <v>3.21</v>
      </c>
      <c r="DH28" s="464">
        <f t="shared" si="36"/>
        <v>6.57</v>
      </c>
      <c r="DI28" s="464">
        <f t="shared" si="37"/>
        <v>488.8</v>
      </c>
      <c r="DJ28" s="464">
        <f t="shared" si="38"/>
        <v>13</v>
      </c>
      <c r="DK28" s="464">
        <f t="shared" si="39"/>
        <v>2</v>
      </c>
      <c r="DL28" s="464">
        <f t="shared" si="40"/>
        <v>1.6</v>
      </c>
      <c r="DM28" s="464">
        <f t="shared" si="41"/>
        <v>6.2</v>
      </c>
      <c r="DN28" s="464">
        <f t="shared" si="42"/>
        <v>100</v>
      </c>
      <c r="DO28" s="464">
        <f t="shared" si="43"/>
        <v>5040195</v>
      </c>
      <c r="DP28" s="464">
        <f t="shared" si="44"/>
        <v>2996950</v>
      </c>
      <c r="DQ28" s="467">
        <f t="shared" si="45"/>
        <v>0.93</v>
      </c>
      <c r="DR28" s="464">
        <f t="shared" si="46"/>
        <v>3</v>
      </c>
      <c r="DS28" s="464">
        <f t="shared" si="47"/>
        <v>125855</v>
      </c>
      <c r="DT28" s="464">
        <f t="shared" si="48"/>
        <v>40</v>
      </c>
      <c r="DU28" s="464">
        <f t="shared" si="49"/>
        <v>1.7</v>
      </c>
      <c r="DV28" s="464">
        <f t="shared" si="50"/>
        <v>0</v>
      </c>
      <c r="DW28" s="464">
        <f t="shared" si="51"/>
        <v>35.07</v>
      </c>
      <c r="DX28" s="464">
        <f t="shared" si="52"/>
        <v>97</v>
      </c>
      <c r="DY28" s="464">
        <f t="shared" si="53"/>
        <v>63</v>
      </c>
      <c r="DZ28" s="464">
        <f t="shared" si="54"/>
        <v>49</v>
      </c>
      <c r="EA28" s="464">
        <f t="shared" si="55"/>
        <v>18033</v>
      </c>
      <c r="EB28" s="464">
        <f t="shared" si="56"/>
        <v>56</v>
      </c>
      <c r="EC28" s="464">
        <f t="shared" si="57"/>
        <v>0</v>
      </c>
      <c r="ED28" s="464">
        <f t="shared" si="58"/>
        <v>2.1000000000000001E-2</v>
      </c>
      <c r="EE28" s="464">
        <f t="shared" si="59"/>
        <v>1.28</v>
      </c>
      <c r="EF28" s="275">
        <f t="shared" si="75"/>
        <v>1.47</v>
      </c>
      <c r="EG28" s="275" t="str">
        <f t="shared" si="76"/>
        <v>currently present, field verified</v>
      </c>
      <c r="EH28" s="275">
        <f t="shared" si="77"/>
        <v>5.0199999999999996</v>
      </c>
      <c r="EI28" s="275">
        <f t="shared" si="78"/>
        <v>2.0699999999999998</v>
      </c>
      <c r="EJ28" s="275">
        <f t="shared" si="79"/>
        <v>1.65</v>
      </c>
    </row>
    <row r="29" spans="1:140" s="275" customFormat="1" ht="44" customHeight="1" x14ac:dyDescent="0.35">
      <c r="A29" s="389">
        <v>23</v>
      </c>
      <c r="B29" s="281" t="s">
        <v>424</v>
      </c>
      <c r="C29" s="257">
        <v>23</v>
      </c>
      <c r="D29" s="256" t="s">
        <v>399</v>
      </c>
      <c r="E29" s="258"/>
      <c r="F29" s="259">
        <v>8144653</v>
      </c>
      <c r="G29" s="259">
        <v>2922.11</v>
      </c>
      <c r="H29" s="260">
        <f t="shared" si="60"/>
        <v>2787.2506510706303</v>
      </c>
      <c r="I29" s="260">
        <f t="shared" si="61"/>
        <v>1.0483843635941275</v>
      </c>
      <c r="J29" s="261">
        <v>1</v>
      </c>
      <c r="K29" s="262">
        <v>4.4938818565400798</v>
      </c>
      <c r="L29" s="262">
        <v>4.55</v>
      </c>
      <c r="M29" s="262">
        <v>14.76</v>
      </c>
      <c r="N29" s="260">
        <f t="shared" si="95"/>
        <v>32861083.72925064</v>
      </c>
      <c r="O29" s="258"/>
      <c r="P29" s="260">
        <f t="shared" si="62"/>
        <v>5532.907209134255</v>
      </c>
      <c r="Q29" s="453">
        <f>P28+P29</f>
        <v>131387.98696151286</v>
      </c>
      <c r="R29" s="263">
        <f t="shared" si="96"/>
        <v>0.91839998960400004</v>
      </c>
      <c r="S29" s="262">
        <v>0.45919999480200002</v>
      </c>
      <c r="T29" s="260">
        <f t="shared" si="97"/>
        <v>7480049.2305281879</v>
      </c>
      <c r="U29" s="259">
        <v>0</v>
      </c>
      <c r="V29" s="264">
        <f t="shared" si="98"/>
        <v>3.1622887598478755</v>
      </c>
      <c r="W29" s="264">
        <f t="shared" si="99"/>
        <v>9.8476854430995839</v>
      </c>
      <c r="X29" s="260">
        <f t="shared" si="100"/>
        <v>14960098.461056376</v>
      </c>
      <c r="Y29" s="263">
        <f t="shared" si="101"/>
        <v>4.3931640977889961</v>
      </c>
      <c r="Z29" s="264">
        <f t="shared" si="102"/>
        <v>250.10721671895735</v>
      </c>
      <c r="AA29" s="264">
        <f t="shared" si="103"/>
        <v>8.7825616458031761E-3</v>
      </c>
      <c r="AB29" s="266">
        <f t="shared" si="104"/>
        <v>4.7246155902054728E-3</v>
      </c>
      <c r="AC29" s="266">
        <f t="shared" si="65"/>
        <v>1.793180539933233</v>
      </c>
      <c r="AD29" s="266">
        <f t="shared" si="105"/>
        <v>0.22762637082081291</v>
      </c>
      <c r="AE29" s="266">
        <f t="shared" si="106"/>
        <v>9.0875117029491203E-3</v>
      </c>
      <c r="AF29" s="258"/>
      <c r="AG29" s="267">
        <v>-72.188545000000005</v>
      </c>
      <c r="AH29" s="277">
        <v>1.3073834513451104</v>
      </c>
      <c r="AI29" s="277">
        <f t="shared" si="66"/>
        <v>0.91786384382131481</v>
      </c>
      <c r="AJ29" s="277">
        <f t="shared" si="67"/>
        <v>5.0172694098239292</v>
      </c>
      <c r="AK29" s="277">
        <f t="shared" si="68"/>
        <v>2.0668860612132396</v>
      </c>
      <c r="AL29" s="277">
        <f t="shared" si="69"/>
        <v>1.6496212840523854</v>
      </c>
      <c r="AM29" s="278">
        <v>0.45919999480200002</v>
      </c>
      <c r="AN29" s="261">
        <v>0.582278481012658</v>
      </c>
      <c r="AO29" s="261">
        <v>0.253164556962025</v>
      </c>
      <c r="AP29" s="261">
        <v>0.15611814345991601</v>
      </c>
      <c r="AQ29" s="481">
        <f t="shared" si="70"/>
        <v>1.459199994802</v>
      </c>
      <c r="AR29" s="268" t="str">
        <f t="shared" si="84"/>
        <v>currently present, field verified</v>
      </c>
      <c r="AS29" s="258"/>
      <c r="AT29" s="259">
        <v>3113934</v>
      </c>
      <c r="AU29" s="259">
        <v>0</v>
      </c>
      <c r="AV29" s="259">
        <v>0</v>
      </c>
      <c r="AW29" s="259">
        <v>336.11519576667661</v>
      </c>
      <c r="AX29" s="259">
        <v>561.75661859457273</v>
      </c>
      <c r="AY29" s="259">
        <v>578.7938612896977</v>
      </c>
      <c r="AZ29" s="259">
        <v>6515.7224000000006</v>
      </c>
      <c r="BA29" s="269"/>
      <c r="BB29" s="259">
        <v>7992.3880756509479</v>
      </c>
      <c r="BC29" s="260">
        <f t="shared" si="107"/>
        <v>7992.3880756509479</v>
      </c>
      <c r="BD29" s="260">
        <f t="shared" si="108"/>
        <v>9.8130492184884339</v>
      </c>
      <c r="BE29" s="453">
        <f>(BC29+BC28)</f>
        <v>26025.037335363173</v>
      </c>
      <c r="BF29" s="453">
        <f>(BC29+BC28)/SUM(F28:F29)*10000</f>
        <v>22.919948186779894</v>
      </c>
      <c r="BG29" s="280">
        <f>(AV29+AV28)/BE29*100</f>
        <v>0</v>
      </c>
      <c r="BH29" s="258"/>
      <c r="BI29" s="262">
        <f t="shared" si="71"/>
        <v>15.4826625</v>
      </c>
      <c r="BJ29" s="259">
        <v>61930.65</v>
      </c>
      <c r="BK29" s="262">
        <f>49.25+8.95+0.17+0.14+0.57+0.48+10.65+54.68+4.82</f>
        <v>129.71</v>
      </c>
      <c r="BL29" s="259">
        <f t="shared" si="82"/>
        <v>524918.21059999999</v>
      </c>
      <c r="BM29" s="259" t="s">
        <v>551</v>
      </c>
      <c r="BN29" s="258"/>
      <c r="BO29" s="260">
        <f t="shared" si="109"/>
        <v>814.46529999999996</v>
      </c>
      <c r="BP29" s="260">
        <f t="shared" si="110"/>
        <v>1.0483843635941275</v>
      </c>
      <c r="BQ29" s="263">
        <f t="shared" si="1"/>
        <v>14.76</v>
      </c>
      <c r="BR29" s="260">
        <f t="shared" si="111"/>
        <v>0</v>
      </c>
      <c r="BS29" s="265">
        <f t="shared" si="112"/>
        <v>8.7825616458031761E-3</v>
      </c>
      <c r="BT29" s="263">
        <f t="shared" si="113"/>
        <v>1.793180539933233</v>
      </c>
      <c r="BU29" s="260">
        <f t="shared" si="114"/>
        <v>0</v>
      </c>
      <c r="BV29" s="258"/>
      <c r="BW29" s="138"/>
      <c r="BX29" s="138"/>
      <c r="BY29" s="138"/>
      <c r="BZ29" s="138"/>
      <c r="CA29" s="138"/>
      <c r="CB29" s="138"/>
      <c r="CC29" s="138"/>
      <c r="CD29" s="138"/>
      <c r="CE29" s="138"/>
      <c r="CF29" s="138"/>
      <c r="CG29" s="138"/>
      <c r="CH29" s="138"/>
      <c r="CI29" s="258"/>
      <c r="CJ29" s="312" t="str">
        <f t="shared" si="18"/>
        <v>intermediate complexity hydrodynamics</v>
      </c>
      <c r="CK29" s="313">
        <f t="shared" si="19"/>
        <v>2</v>
      </c>
      <c r="CL29" s="312" t="str">
        <f t="shared" si="20"/>
        <v>intermediate complexity water quality</v>
      </c>
      <c r="CM29" s="313">
        <f t="shared" si="21"/>
        <v>2</v>
      </c>
      <c r="CN29" s="312" t="str">
        <f t="shared" si="22"/>
        <v>deep</v>
      </c>
      <c r="CO29" s="313">
        <f t="shared" si="23"/>
        <v>3</v>
      </c>
      <c r="CP29" s="312" t="str">
        <f t="shared" si="24"/>
        <v>mid-size</v>
      </c>
      <c r="CQ29" s="313">
        <f t="shared" si="25"/>
        <v>4</v>
      </c>
      <c r="CR29" s="312" t="str">
        <f t="shared" si="26"/>
        <v>very low</v>
      </c>
      <c r="CS29" s="313">
        <f t="shared" si="27"/>
        <v>1</v>
      </c>
      <c r="CT29" s="312" t="str">
        <f t="shared" si="28"/>
        <v>none</v>
      </c>
      <c r="CU29" s="313">
        <f t="shared" si="29"/>
        <v>1</v>
      </c>
      <c r="CV29" s="313">
        <f t="shared" si="30"/>
        <v>132</v>
      </c>
      <c r="CW29" s="313" t="str">
        <f t="shared" si="31"/>
        <v>intermediate complexity hydrodynamics</v>
      </c>
      <c r="CX29" s="313">
        <f t="shared" si="89"/>
        <v>108</v>
      </c>
      <c r="CY29" s="313" t="str">
        <f t="shared" si="32"/>
        <v>intermediate complexity water quality</v>
      </c>
      <c r="CZ29" s="273" t="s">
        <v>402</v>
      </c>
      <c r="DA29" s="272" t="str">
        <f t="shared" si="115"/>
        <v>-</v>
      </c>
      <c r="DB29" s="271" t="str">
        <f t="shared" si="33"/>
        <v>intermediate complexity hydrodynamics; intermediate complexity water quality</v>
      </c>
      <c r="DC29" s="274"/>
      <c r="DD29" s="475" t="str">
        <f t="shared" si="73"/>
        <v>Niantic Bay</v>
      </c>
      <c r="DE29" s="475">
        <f t="shared" si="74"/>
        <v>23</v>
      </c>
      <c r="DF29" s="464">
        <f t="shared" si="34"/>
        <v>3.11</v>
      </c>
      <c r="DG29" s="479">
        <f t="shared" si="35"/>
        <v>8.14</v>
      </c>
      <c r="DH29" s="464">
        <f t="shared" si="36"/>
        <v>2.92</v>
      </c>
      <c r="DI29" s="464">
        <f t="shared" si="37"/>
        <v>2787.3</v>
      </c>
      <c r="DJ29" s="464">
        <f t="shared" si="38"/>
        <v>1</v>
      </c>
      <c r="DK29" s="464">
        <f t="shared" si="39"/>
        <v>4.5</v>
      </c>
      <c r="DL29" s="464">
        <f t="shared" si="40"/>
        <v>4.5999999999999996</v>
      </c>
      <c r="DM29" s="464">
        <f t="shared" si="41"/>
        <v>14.8</v>
      </c>
      <c r="DN29" s="464">
        <f t="shared" si="42"/>
        <v>100</v>
      </c>
      <c r="DO29" s="464">
        <f t="shared" si="43"/>
        <v>32861084</v>
      </c>
      <c r="DP29" s="464">
        <f t="shared" si="44"/>
        <v>7480049</v>
      </c>
      <c r="DQ29" s="467">
        <f t="shared" si="45"/>
        <v>0.92</v>
      </c>
      <c r="DR29" s="464">
        <f t="shared" si="46"/>
        <v>0</v>
      </c>
      <c r="DS29" s="464">
        <f t="shared" si="47"/>
        <v>131388</v>
      </c>
      <c r="DT29" s="464">
        <f t="shared" si="48"/>
        <v>250.1</v>
      </c>
      <c r="DU29" s="464">
        <f t="shared" si="49"/>
        <v>4.4000000000000004</v>
      </c>
      <c r="DV29" s="464">
        <f t="shared" si="50"/>
        <v>15.48</v>
      </c>
      <c r="DW29" s="464">
        <f t="shared" si="51"/>
        <v>129.71</v>
      </c>
      <c r="DX29" s="464">
        <f t="shared" si="52"/>
        <v>58</v>
      </c>
      <c r="DY29" s="464">
        <f t="shared" si="53"/>
        <v>25</v>
      </c>
      <c r="DZ29" s="464">
        <f t="shared" si="54"/>
        <v>16</v>
      </c>
      <c r="EA29" s="464">
        <f t="shared" si="55"/>
        <v>26025</v>
      </c>
      <c r="EB29" s="464">
        <f t="shared" si="56"/>
        <v>23</v>
      </c>
      <c r="EC29" s="464">
        <f t="shared" si="57"/>
        <v>0</v>
      </c>
      <c r="ED29" s="464">
        <f t="shared" si="58"/>
        <v>8.7799999999999996E-3</v>
      </c>
      <c r="EE29" s="464">
        <f t="shared" si="59"/>
        <v>1.79</v>
      </c>
      <c r="EF29" s="275">
        <f t="shared" si="75"/>
        <v>1.46</v>
      </c>
      <c r="EG29" s="275" t="str">
        <f t="shared" si="76"/>
        <v>currently present, field verified</v>
      </c>
      <c r="EH29" s="275">
        <f t="shared" si="77"/>
        <v>5.0199999999999996</v>
      </c>
      <c r="EI29" s="275">
        <f t="shared" si="78"/>
        <v>2.0699999999999998</v>
      </c>
      <c r="EJ29" s="275">
        <f t="shared" si="79"/>
        <v>1.65</v>
      </c>
    </row>
    <row r="30" spans="1:140" ht="44" customHeight="1" x14ac:dyDescent="0.35">
      <c r="A30" s="388">
        <v>23.5</v>
      </c>
      <c r="B30" s="215" t="s">
        <v>475</v>
      </c>
      <c r="C30" s="210" t="s">
        <v>485</v>
      </c>
      <c r="D30" s="196"/>
      <c r="E30" s="221"/>
      <c r="F30" s="197">
        <f>F28+F29</f>
        <v>11354754</v>
      </c>
      <c r="G30" s="197">
        <f>G28+G29</f>
        <v>9488.9380000000001</v>
      </c>
      <c r="H30" s="241">
        <f t="shared" si="60"/>
        <v>1196.630645073242</v>
      </c>
      <c r="I30" s="241">
        <f t="shared" si="61"/>
        <v>7.9297133489500533</v>
      </c>
      <c r="J30" s="452">
        <f>SUM(J28*($F28/$F30),J29*($F29/$F30))</f>
        <v>1</v>
      </c>
      <c r="K30" s="242">
        <f>SUM(K28*($F28/$F30),K29*($F29/$F30))</f>
        <v>3.7992701874131276</v>
      </c>
      <c r="L30" s="242">
        <f>SUM(L28*($F28/$F30),L29*($F29/$F30))</f>
        <v>3.701870397192224</v>
      </c>
      <c r="M30" s="242">
        <f>MAX(M27:M29)</f>
        <v>14.76</v>
      </c>
      <c r="N30" s="241">
        <f>N29+N28</f>
        <v>37901278.581922203</v>
      </c>
      <c r="O30" s="221"/>
      <c r="P30" s="241"/>
      <c r="Q30" s="457">
        <f>Q29</f>
        <v>131387.98696151286</v>
      </c>
      <c r="R30" s="242">
        <f t="shared" si="96"/>
        <v>0.91839998960400004</v>
      </c>
      <c r="S30" s="213">
        <f>S29</f>
        <v>0.45919999480200002</v>
      </c>
      <c r="T30" s="241">
        <f t="shared" si="97"/>
        <v>10428205.955555977</v>
      </c>
      <c r="U30" s="197">
        <v>2</v>
      </c>
      <c r="V30" s="243">
        <f t="shared" si="98"/>
        <v>5.7700207696222163</v>
      </c>
      <c r="W30" s="243">
        <f t="shared" si="99"/>
        <v>18.515451358328118</v>
      </c>
      <c r="X30" s="241">
        <f t="shared" si="100"/>
        <v>20856411.911111955</v>
      </c>
      <c r="Y30" s="242">
        <f t="shared" si="101"/>
        <v>3.6344965513199345</v>
      </c>
      <c r="Z30" s="243">
        <f t="shared" si="102"/>
        <v>288.46837110781314</v>
      </c>
      <c r="AA30" s="243">
        <f t="shared" si="103"/>
        <v>6.2996448057065597E-3</v>
      </c>
      <c r="AB30" s="245">
        <f t="shared" si="104"/>
        <v>3.3972818731812333E-3</v>
      </c>
      <c r="AC30" s="245">
        <f>AB30/(0.3*AA30)</f>
        <v>1.7976049856566469</v>
      </c>
      <c r="AD30" s="245">
        <f t="shared" si="105"/>
        <v>0.27514127084171575</v>
      </c>
      <c r="AE30" s="245">
        <f t="shared" si="106"/>
        <v>6.5183824725713714E-3</v>
      </c>
      <c r="AF30" s="221"/>
      <c r="AG30" s="211">
        <f>AG29</f>
        <v>-72.188545000000005</v>
      </c>
      <c r="AH30" s="242">
        <f>AH29</f>
        <v>1.3073834513451104</v>
      </c>
      <c r="AI30" s="242">
        <f t="shared" si="66"/>
        <v>0.91786384382131481</v>
      </c>
      <c r="AJ30" s="242">
        <f>-LN(0.01)/AI30</f>
        <v>5.0172694098239292</v>
      </c>
      <c r="AK30" s="242">
        <f>-LN(0.15)/AI30</f>
        <v>2.0668860612132396</v>
      </c>
      <c r="AL30" s="242">
        <f t="shared" si="69"/>
        <v>1.6496212840523854</v>
      </c>
      <c r="AM30" s="242">
        <f>SUM(AM28*($F28/$F30),AM29*($F29/$F30))</f>
        <v>0.46134859246512627</v>
      </c>
      <c r="AN30" s="452">
        <f>SUM(AN28*($F28/$F30),AN29*($F29/$F30))</f>
        <v>0.69195849218548378</v>
      </c>
      <c r="AO30" s="452">
        <f>SUM(AO28*($F28/$F30),AO29*($F29/$F30))</f>
        <v>0.35996890266420978</v>
      </c>
      <c r="AP30" s="452">
        <f>SUM(AP28*($F28/$F30),AP29*($F29/$F30))</f>
        <v>0.25165414076232884</v>
      </c>
      <c r="AQ30" s="483">
        <f t="shared" si="70"/>
        <v>1.459199994802</v>
      </c>
      <c r="AR30" s="247" t="str">
        <f t="shared" si="84"/>
        <v>currently present, field verified</v>
      </c>
      <c r="AS30" s="221"/>
      <c r="AT30" s="241">
        <f>AT29+AT28</f>
        <v>76216564</v>
      </c>
      <c r="AU30" s="241">
        <f t="shared" ref="AU30:AZ30" si="116">AU29+AU28</f>
        <v>0</v>
      </c>
      <c r="AV30" s="241">
        <f t="shared" si="116"/>
        <v>0</v>
      </c>
      <c r="AW30" s="241">
        <f>AW29+AW28</f>
        <v>4956.5632025878931</v>
      </c>
      <c r="AX30" s="241">
        <f t="shared" si="116"/>
        <v>6433.8442798564902</v>
      </c>
      <c r="AY30" s="241">
        <f t="shared" si="116"/>
        <v>5550.8266529187867</v>
      </c>
      <c r="AZ30" s="241">
        <f t="shared" si="116"/>
        <v>9083.8032000000003</v>
      </c>
      <c r="BA30" s="214"/>
      <c r="BB30" s="241">
        <f>BB29+BB28</f>
        <v>26025.037335363173</v>
      </c>
      <c r="BC30" s="241">
        <f>BC29+BC28</f>
        <v>26025.037335363173</v>
      </c>
      <c r="BD30" s="241">
        <f t="shared" si="108"/>
        <v>22.919948186779894</v>
      </c>
      <c r="BE30" s="457">
        <f t="shared" ref="BE30:BE35" si="117">BC30</f>
        <v>26025.037335363173</v>
      </c>
      <c r="BF30" s="457">
        <f>BD30</f>
        <v>22.919948186779894</v>
      </c>
      <c r="BG30" s="248">
        <f t="shared" ref="BG30:BG35" si="118">AV30/BE30*100</f>
        <v>0</v>
      </c>
      <c r="BH30" s="221"/>
      <c r="BI30" s="242">
        <f t="shared" si="71"/>
        <v>15.4826625</v>
      </c>
      <c r="BJ30" s="241">
        <f>BJ29+BJ28</f>
        <v>61930.65</v>
      </c>
      <c r="BK30" s="242">
        <f>BK29+BK28</f>
        <v>164.78</v>
      </c>
      <c r="BL30" s="241">
        <f>BL29+BL28</f>
        <v>666841.59080000001</v>
      </c>
      <c r="BM30" s="197" t="s">
        <v>551</v>
      </c>
      <c r="BN30" s="221"/>
      <c r="BO30" s="241">
        <f t="shared" si="109"/>
        <v>1135.4754</v>
      </c>
      <c r="BP30" s="241">
        <f t="shared" si="110"/>
        <v>7.9297133489500533</v>
      </c>
      <c r="BQ30" s="242">
        <f t="shared" si="1"/>
        <v>14.76</v>
      </c>
      <c r="BR30" s="241">
        <f t="shared" si="111"/>
        <v>2</v>
      </c>
      <c r="BS30" s="244">
        <f t="shared" si="112"/>
        <v>6.2996448057065597E-3</v>
      </c>
      <c r="BT30" s="242">
        <f t="shared" si="113"/>
        <v>1.7976049856566469</v>
      </c>
      <c r="BU30" s="241">
        <f t="shared" si="114"/>
        <v>0</v>
      </c>
      <c r="BV30" s="221"/>
      <c r="CI30" s="221"/>
      <c r="CJ30" s="303" t="str">
        <f t="shared" si="18"/>
        <v>intermediate complexity hydrodynamics</v>
      </c>
      <c r="CK30" s="304">
        <f t="shared" si="19"/>
        <v>2</v>
      </c>
      <c r="CL30" s="303" t="str">
        <f t="shared" si="20"/>
        <v>intermediate complexity water quality</v>
      </c>
      <c r="CM30" s="304">
        <f t="shared" si="21"/>
        <v>2</v>
      </c>
      <c r="CN30" s="303" t="str">
        <f t="shared" si="22"/>
        <v>deep</v>
      </c>
      <c r="CO30" s="304">
        <f t="shared" si="23"/>
        <v>3</v>
      </c>
      <c r="CP30" s="303" t="str">
        <f t="shared" si="24"/>
        <v>large</v>
      </c>
      <c r="CQ30" s="304">
        <f t="shared" si="25"/>
        <v>5</v>
      </c>
      <c r="CR30" s="303" t="str">
        <f t="shared" si="26"/>
        <v>very low</v>
      </c>
      <c r="CS30" s="304">
        <f t="shared" si="27"/>
        <v>1</v>
      </c>
      <c r="CT30" s="303" t="str">
        <f t="shared" si="28"/>
        <v>mid-estuary</v>
      </c>
      <c r="CU30" s="304">
        <f t="shared" si="29"/>
        <v>3</v>
      </c>
      <c r="CV30" s="304">
        <f t="shared" si="30"/>
        <v>144</v>
      </c>
      <c r="CW30" s="304" t="str">
        <f t="shared" si="31"/>
        <v>complex hydrodynamics</v>
      </c>
      <c r="CX30" s="304">
        <f t="shared" si="89"/>
        <v>114</v>
      </c>
      <c r="CY30" s="304" t="str">
        <f t="shared" si="32"/>
        <v>intermediate complexity water quality</v>
      </c>
      <c r="CZ30" s="216" t="s">
        <v>617</v>
      </c>
      <c r="DA30" s="252" t="str">
        <f t="shared" si="115"/>
        <v>-</v>
      </c>
      <c r="DB30" s="251" t="str">
        <f t="shared" si="33"/>
        <v>complex hydrodynamics; intermediate complexity water quality</v>
      </c>
      <c r="DC30" s="227"/>
      <c r="DD30" s="475" t="str">
        <f t="shared" si="73"/>
        <v>Niantic River + Niantic Bay</v>
      </c>
      <c r="DE30" s="475" t="str">
        <f t="shared" si="74"/>
        <v>22-23</v>
      </c>
      <c r="DF30" s="477">
        <f t="shared" si="34"/>
        <v>76.22</v>
      </c>
      <c r="DG30" s="478">
        <f t="shared" si="35"/>
        <v>11.35</v>
      </c>
      <c r="DH30" s="477">
        <f t="shared" si="36"/>
        <v>9.49</v>
      </c>
      <c r="DI30" s="477">
        <f t="shared" si="37"/>
        <v>1196.5999999999999</v>
      </c>
      <c r="DJ30" s="477">
        <f t="shared" si="38"/>
        <v>8</v>
      </c>
      <c r="DK30" s="477">
        <f t="shared" si="39"/>
        <v>3.8</v>
      </c>
      <c r="DL30" s="477">
        <f t="shared" si="40"/>
        <v>3.7</v>
      </c>
      <c r="DM30" s="477">
        <f t="shared" si="41"/>
        <v>14.8</v>
      </c>
      <c r="DN30" s="477">
        <f t="shared" si="42"/>
        <v>100</v>
      </c>
      <c r="DO30" s="477">
        <f t="shared" si="43"/>
        <v>37901279</v>
      </c>
      <c r="DP30" s="477">
        <f t="shared" si="44"/>
        <v>10428206</v>
      </c>
      <c r="DQ30" s="467">
        <f t="shared" si="45"/>
        <v>0.92</v>
      </c>
      <c r="DR30" s="467">
        <f t="shared" si="46"/>
        <v>2</v>
      </c>
      <c r="DS30" s="467">
        <f t="shared" si="47"/>
        <v>131388</v>
      </c>
      <c r="DT30" s="467">
        <f t="shared" si="48"/>
        <v>288.5</v>
      </c>
      <c r="DU30" s="467">
        <f t="shared" si="49"/>
        <v>3.6</v>
      </c>
      <c r="DV30" s="467">
        <f t="shared" si="50"/>
        <v>15.48</v>
      </c>
      <c r="DW30" s="467">
        <f t="shared" si="51"/>
        <v>164.78</v>
      </c>
      <c r="DX30" s="467">
        <f t="shared" si="52"/>
        <v>69</v>
      </c>
      <c r="DY30" s="467">
        <f t="shared" si="53"/>
        <v>36</v>
      </c>
      <c r="DZ30" s="467">
        <f t="shared" si="54"/>
        <v>25</v>
      </c>
      <c r="EA30" s="467">
        <f t="shared" si="55"/>
        <v>26025</v>
      </c>
      <c r="EB30" s="467">
        <f t="shared" si="56"/>
        <v>23</v>
      </c>
      <c r="EC30" s="467">
        <f t="shared" si="57"/>
        <v>0</v>
      </c>
      <c r="ED30" s="467">
        <f t="shared" si="58"/>
        <v>6.3E-3</v>
      </c>
      <c r="EE30" s="467">
        <f t="shared" si="59"/>
        <v>1.8</v>
      </c>
      <c r="EF30" s="138">
        <f t="shared" si="75"/>
        <v>1.46</v>
      </c>
      <c r="EG30" s="138" t="str">
        <f t="shared" si="76"/>
        <v>currently present, field verified</v>
      </c>
      <c r="EH30" s="138">
        <f t="shared" si="77"/>
        <v>5.0199999999999996</v>
      </c>
      <c r="EI30" s="138">
        <f t="shared" si="78"/>
        <v>2.0699999999999998</v>
      </c>
      <c r="EJ30" s="138">
        <f t="shared" si="79"/>
        <v>1.65</v>
      </c>
    </row>
    <row r="31" spans="1:140" ht="44" customHeight="1" x14ac:dyDescent="0.35">
      <c r="A31" s="388">
        <v>24</v>
      </c>
      <c r="B31" s="215" t="s">
        <v>425</v>
      </c>
      <c r="C31" s="210">
        <v>24</v>
      </c>
      <c r="D31" s="196"/>
      <c r="E31" s="221"/>
      <c r="F31" s="197">
        <v>124681</v>
      </c>
      <c r="G31" s="197">
        <v>2354.7510000000002</v>
      </c>
      <c r="H31" s="241">
        <f t="shared" si="60"/>
        <v>52.948698185073489</v>
      </c>
      <c r="I31" s="241">
        <f t="shared" si="61"/>
        <v>44.472311514994274</v>
      </c>
      <c r="J31" s="212">
        <v>0</v>
      </c>
      <c r="K31" s="213">
        <v>0.55001764503011696</v>
      </c>
      <c r="L31" s="213">
        <v>0.45</v>
      </c>
      <c r="M31" s="213">
        <v>1.2740000069140001</v>
      </c>
      <c r="N31" s="241">
        <f>F31*MAX(0.1,(K31-S31))</f>
        <v>12468.1</v>
      </c>
      <c r="O31" s="221"/>
      <c r="P31" s="241">
        <f t="shared" si="62"/>
        <v>40406.628949919745</v>
      </c>
      <c r="Q31" s="241">
        <f>P31</f>
        <v>40406.628949919745</v>
      </c>
      <c r="R31" s="242">
        <f t="shared" si="96"/>
        <v>0.94800001382800003</v>
      </c>
      <c r="S31" s="213">
        <v>0.47400000691400002</v>
      </c>
      <c r="T31" s="241">
        <f t="shared" si="97"/>
        <v>118197.58972408887</v>
      </c>
      <c r="U31" s="197">
        <v>3</v>
      </c>
      <c r="V31" s="243">
        <f t="shared" si="98"/>
        <v>1.9203348274974541</v>
      </c>
      <c r="W31" s="243">
        <f t="shared" si="99"/>
        <v>6.0312477464598624</v>
      </c>
      <c r="X31" s="241">
        <f t="shared" si="100"/>
        <v>236395.17944817775</v>
      </c>
      <c r="Y31" s="242">
        <f t="shared" si="101"/>
        <v>0.10548523052885045</v>
      </c>
      <c r="Z31" s="243">
        <f t="shared" si="102"/>
        <v>0.30856570627193497</v>
      </c>
      <c r="AA31" s="243">
        <f t="shared" si="103"/>
        <v>0.17092831183885301</v>
      </c>
      <c r="AB31" s="245">
        <f t="shared" si="104"/>
        <v>4.8292191527308528E-2</v>
      </c>
      <c r="AC31" s="245">
        <f>AB31/(0.3*AA31)</f>
        <v>0.94176307029497475</v>
      </c>
      <c r="AD31" s="245">
        <f t="shared" si="105"/>
        <v>9.4800001382799994</v>
      </c>
      <c r="AE31" s="245">
        <f t="shared" si="106"/>
        <v>0.17686332266659097</v>
      </c>
      <c r="AF31" s="221"/>
      <c r="AG31" s="211">
        <v>-72.225246999999996</v>
      </c>
      <c r="AH31" s="242">
        <f>(AG31^2*-0.304-43.623*AG31-1561.6)*0.4012-0.2907</f>
        <v>1.0212694964223172</v>
      </c>
      <c r="AI31" s="242">
        <f t="shared" si="66"/>
        <v>1.1750081679750608</v>
      </c>
      <c r="AJ31" s="242">
        <f t="shared" si="67"/>
        <v>3.9192665306526058</v>
      </c>
      <c r="AK31" s="242">
        <f t="shared" si="68"/>
        <v>1.6145589763475985</v>
      </c>
      <c r="AL31" s="242">
        <f t="shared" si="69"/>
        <v>1.2886103891848966</v>
      </c>
      <c r="AM31" s="213">
        <v>0.47400000691400002</v>
      </c>
      <c r="AN31" s="212">
        <v>1.00003208187294</v>
      </c>
      <c r="AO31" s="212">
        <v>1.00003208187294</v>
      </c>
      <c r="AP31" s="212">
        <v>1.00003208187294</v>
      </c>
      <c r="AQ31" s="484">
        <f t="shared" si="70"/>
        <v>1.474000006914</v>
      </c>
      <c r="AR31" s="247" t="str">
        <f t="shared" si="84"/>
        <v>unlikely, too shallow</v>
      </c>
      <c r="AS31" s="221"/>
      <c r="AT31" s="197">
        <v>23202290</v>
      </c>
      <c r="AU31" s="197">
        <v>0</v>
      </c>
      <c r="AV31" s="197">
        <v>0</v>
      </c>
      <c r="AW31" s="197">
        <v>1798.9638406657245</v>
      </c>
      <c r="AX31" s="197">
        <v>1450.8897589662199</v>
      </c>
      <c r="AY31" s="197">
        <v>1529.4901707552494</v>
      </c>
      <c r="AZ31" s="197">
        <v>99.744799999999998</v>
      </c>
      <c r="BA31" s="214"/>
      <c r="BB31" s="197">
        <v>4879.0885703871936</v>
      </c>
      <c r="BC31" s="241">
        <f>BB31-AU31+AV31</f>
        <v>4879.0885703871936</v>
      </c>
      <c r="BD31" s="241">
        <f t="shared" si="108"/>
        <v>391.32574894227616</v>
      </c>
      <c r="BE31" s="241">
        <f t="shared" si="117"/>
        <v>4879.0885703871936</v>
      </c>
      <c r="BF31" s="241">
        <f t="shared" si="86"/>
        <v>391.32574894227616</v>
      </c>
      <c r="BG31" s="248">
        <f t="shared" si="118"/>
        <v>0</v>
      </c>
      <c r="BH31" s="221"/>
      <c r="BI31" s="213">
        <f t="shared" si="71"/>
        <v>80.744825000000006</v>
      </c>
      <c r="BJ31" s="197">
        <v>322979.3</v>
      </c>
      <c r="BK31" s="213">
        <v>0</v>
      </c>
      <c r="BL31" s="197">
        <f t="shared" si="82"/>
        <v>0</v>
      </c>
      <c r="BM31" s="197" t="s">
        <v>549</v>
      </c>
      <c r="BN31" s="221"/>
      <c r="BO31" s="241">
        <f t="shared" si="109"/>
        <v>12.4681</v>
      </c>
      <c r="BP31" s="241">
        <f t="shared" si="110"/>
        <v>44.472311514994274</v>
      </c>
      <c r="BQ31" s="242">
        <f t="shared" si="1"/>
        <v>1.2740000069140001</v>
      </c>
      <c r="BR31" s="241">
        <f t="shared" si="111"/>
        <v>3</v>
      </c>
      <c r="BS31" s="244">
        <f t="shared" si="112"/>
        <v>0.17092831183885301</v>
      </c>
      <c r="BT31" s="242">
        <f t="shared" si="113"/>
        <v>0.94176307029497475</v>
      </c>
      <c r="BU31" s="241">
        <f t="shared" si="114"/>
        <v>0</v>
      </c>
      <c r="BV31" s="221"/>
      <c r="CI31" s="221"/>
      <c r="CJ31" s="303" t="str">
        <f t="shared" si="18"/>
        <v>complex hydrodynamics</v>
      </c>
      <c r="CK31" s="304">
        <f t="shared" si="19"/>
        <v>3</v>
      </c>
      <c r="CL31" s="303" t="str">
        <f t="shared" si="20"/>
        <v>simple complexity water quality</v>
      </c>
      <c r="CM31" s="304">
        <f t="shared" si="21"/>
        <v>1</v>
      </c>
      <c r="CN31" s="303" t="str">
        <f t="shared" si="22"/>
        <v>shallow</v>
      </c>
      <c r="CO31" s="304">
        <f t="shared" si="23"/>
        <v>1</v>
      </c>
      <c r="CP31" s="303" t="str">
        <f t="shared" si="24"/>
        <v>very small</v>
      </c>
      <c r="CQ31" s="304">
        <f t="shared" si="25"/>
        <v>2</v>
      </c>
      <c r="CR31" s="303" t="str">
        <f t="shared" si="26"/>
        <v>high</v>
      </c>
      <c r="CS31" s="304">
        <f t="shared" si="27"/>
        <v>4</v>
      </c>
      <c r="CT31" s="303" t="str">
        <f t="shared" si="28"/>
        <v>mouth</v>
      </c>
      <c r="CU31" s="304">
        <f t="shared" si="29"/>
        <v>4</v>
      </c>
      <c r="CV31" s="304">
        <f t="shared" si="30"/>
        <v>108</v>
      </c>
      <c r="CW31" s="304" t="str">
        <f t="shared" si="31"/>
        <v>intermediate complexity hydrodynamics</v>
      </c>
      <c r="CX31" s="304">
        <f t="shared" si="89"/>
        <v>51</v>
      </c>
      <c r="CY31" s="304" t="str">
        <f t="shared" si="32"/>
        <v>simple complexity water quality</v>
      </c>
      <c r="CZ31" s="216" t="s">
        <v>618</v>
      </c>
      <c r="DA31" s="252" t="str">
        <f t="shared" si="115"/>
        <v>-</v>
      </c>
      <c r="DB31" s="251" t="str">
        <f t="shared" si="33"/>
        <v>intermediate complexity hydrodynamics; simple complexity water quality</v>
      </c>
      <c r="DC31" s="227"/>
      <c r="DD31" s="475" t="str">
        <f t="shared" si="73"/>
        <v>Pattagansett River</v>
      </c>
      <c r="DE31" s="475">
        <f t="shared" si="74"/>
        <v>24</v>
      </c>
      <c r="DF31" s="465">
        <f t="shared" si="34"/>
        <v>23.2</v>
      </c>
      <c r="DG31" s="466">
        <f t="shared" si="35"/>
        <v>0.12</v>
      </c>
      <c r="DH31" s="465">
        <f t="shared" si="36"/>
        <v>2.35</v>
      </c>
      <c r="DI31" s="465">
        <f t="shared" si="37"/>
        <v>52.9</v>
      </c>
      <c r="DJ31" s="465">
        <f t="shared" si="38"/>
        <v>44</v>
      </c>
      <c r="DK31" s="465">
        <f t="shared" si="39"/>
        <v>0.6</v>
      </c>
      <c r="DL31" s="465">
        <f t="shared" si="40"/>
        <v>0.5</v>
      </c>
      <c r="DM31" s="465">
        <f t="shared" si="41"/>
        <v>1.3</v>
      </c>
      <c r="DN31" s="465">
        <f t="shared" si="42"/>
        <v>0</v>
      </c>
      <c r="DO31" s="465">
        <f t="shared" si="43"/>
        <v>12468</v>
      </c>
      <c r="DP31" s="465">
        <f t="shared" si="44"/>
        <v>118198</v>
      </c>
      <c r="DQ31" s="467">
        <f t="shared" si="45"/>
        <v>0.95</v>
      </c>
      <c r="DR31" s="467">
        <f t="shared" si="46"/>
        <v>3</v>
      </c>
      <c r="DS31" s="467">
        <f t="shared" si="47"/>
        <v>40407</v>
      </c>
      <c r="DT31" s="467">
        <f t="shared" si="48"/>
        <v>0.3</v>
      </c>
      <c r="DU31" s="467">
        <f t="shared" si="49"/>
        <v>0.1</v>
      </c>
      <c r="DV31" s="467">
        <f t="shared" si="50"/>
        <v>80.739999999999995</v>
      </c>
      <c r="DW31" s="467">
        <f t="shared" si="51"/>
        <v>0</v>
      </c>
      <c r="DX31" s="467">
        <f t="shared" si="52"/>
        <v>100</v>
      </c>
      <c r="DY31" s="467">
        <f t="shared" si="53"/>
        <v>100</v>
      </c>
      <c r="DZ31" s="467">
        <f t="shared" si="54"/>
        <v>100</v>
      </c>
      <c r="EA31" s="467">
        <f t="shared" si="55"/>
        <v>4879</v>
      </c>
      <c r="EB31" s="467">
        <f t="shared" si="56"/>
        <v>391</v>
      </c>
      <c r="EC31" s="467">
        <f t="shared" si="57"/>
        <v>0</v>
      </c>
      <c r="ED31" s="467">
        <f t="shared" si="58"/>
        <v>0.17093</v>
      </c>
      <c r="EE31" s="467">
        <f t="shared" si="59"/>
        <v>0.94</v>
      </c>
      <c r="EF31" s="138">
        <f t="shared" si="75"/>
        <v>1.47</v>
      </c>
      <c r="EG31" s="138" t="str">
        <f t="shared" si="76"/>
        <v>unlikely, too shallow</v>
      </c>
      <c r="EH31" s="138">
        <f t="shared" si="77"/>
        <v>3.92</v>
      </c>
      <c r="EI31" s="138">
        <f t="shared" si="78"/>
        <v>1.61</v>
      </c>
      <c r="EJ31" s="138">
        <f t="shared" si="79"/>
        <v>1.29</v>
      </c>
    </row>
    <row r="32" spans="1:140" ht="44" customHeight="1" x14ac:dyDescent="0.35">
      <c r="A32" s="388">
        <v>25</v>
      </c>
      <c r="B32" s="215" t="s">
        <v>426</v>
      </c>
      <c r="C32" s="210">
        <v>25</v>
      </c>
      <c r="D32" s="196"/>
      <c r="E32" s="221"/>
      <c r="F32" s="197">
        <v>72011</v>
      </c>
      <c r="G32" s="197">
        <v>2378.19</v>
      </c>
      <c r="H32" s="241">
        <f t="shared" si="60"/>
        <v>30.279750566607376</v>
      </c>
      <c r="I32" s="241">
        <f t="shared" si="61"/>
        <v>78.540607353043285</v>
      </c>
      <c r="J32" s="212">
        <v>0</v>
      </c>
      <c r="K32" s="213">
        <v>0.54996181138992695</v>
      </c>
      <c r="L32" s="213">
        <v>0.45</v>
      </c>
      <c r="M32" s="213">
        <v>1.2975999891760002</v>
      </c>
      <c r="N32" s="241">
        <f>F32*MAX(0.1,(K32-S32))</f>
        <v>7201.1</v>
      </c>
      <c r="O32" s="221"/>
      <c r="P32" s="241">
        <f t="shared" si="62"/>
        <v>19264.308447134408</v>
      </c>
      <c r="Q32" s="241">
        <f>P32</f>
        <v>19264.308447134408</v>
      </c>
      <c r="R32" s="242">
        <f t="shared" si="96"/>
        <v>0.99519997835200003</v>
      </c>
      <c r="S32" s="213">
        <v>0.49759998917600001</v>
      </c>
      <c r="T32" s="241">
        <f t="shared" si="97"/>
        <v>71665.345641105872</v>
      </c>
      <c r="U32" s="197">
        <v>3</v>
      </c>
      <c r="V32" s="243">
        <f t="shared" si="98"/>
        <v>1.9310962408828749</v>
      </c>
      <c r="W32" s="243">
        <f t="shared" si="99"/>
        <v>6.0661338194462502</v>
      </c>
      <c r="X32" s="241">
        <f t="shared" si="100"/>
        <v>143330.69128221174</v>
      </c>
      <c r="Y32" s="242">
        <f t="shared" si="101"/>
        <v>0.10048231729827292</v>
      </c>
      <c r="Z32" s="243">
        <f t="shared" si="102"/>
        <v>0.37380526893874427</v>
      </c>
      <c r="AA32" s="243">
        <f t="shared" si="103"/>
        <v>0.13440462942583487</v>
      </c>
      <c r="AB32" s="245">
        <f t="shared" si="104"/>
        <v>5.2946382137910239E-2</v>
      </c>
      <c r="AC32" s="245">
        <f t="shared" si="65"/>
        <v>1.3131090886797743</v>
      </c>
      <c r="AD32" s="245">
        <f t="shared" si="105"/>
        <v>9.9519997835199998</v>
      </c>
      <c r="AE32" s="245">
        <f t="shared" si="106"/>
        <v>0.13907145683645411</v>
      </c>
      <c r="AF32" s="221"/>
      <c r="AG32" s="211">
        <v>-72.237221000000005</v>
      </c>
      <c r="AH32" s="242">
        <f>(AG32^2*-0.304-43.623*AG32-1561.6)*0.4012-0.2907</f>
        <v>1.0198590979156554</v>
      </c>
      <c r="AI32" s="242">
        <f t="shared" si="66"/>
        <v>1.1766331275099755</v>
      </c>
      <c r="AJ32" s="242">
        <f t="shared" si="67"/>
        <v>3.9138539263582381</v>
      </c>
      <c r="AK32" s="242">
        <f t="shared" si="68"/>
        <v>1.6123292303528973</v>
      </c>
      <c r="AL32" s="242">
        <f t="shared" si="69"/>
        <v>1.2868307862740662</v>
      </c>
      <c r="AM32" s="213">
        <v>0.49759998917600001</v>
      </c>
      <c r="AN32" s="212">
        <v>0.99993056616350295</v>
      </c>
      <c r="AO32" s="212">
        <v>0.99993056616350295</v>
      </c>
      <c r="AP32" s="212">
        <v>0.99993056616350295</v>
      </c>
      <c r="AQ32" s="484">
        <f t="shared" si="70"/>
        <v>1.4975999891759999</v>
      </c>
      <c r="AR32" s="247" t="str">
        <f t="shared" si="84"/>
        <v>unlikely, too shallow</v>
      </c>
      <c r="AS32" s="221"/>
      <c r="AT32" s="197">
        <v>10979490</v>
      </c>
      <c r="AU32" s="197">
        <v>0</v>
      </c>
      <c r="AV32" s="197">
        <v>0</v>
      </c>
      <c r="AW32" s="197">
        <v>965.67922250800598</v>
      </c>
      <c r="AX32" s="197">
        <v>1337.2933527679349</v>
      </c>
      <c r="AY32" s="197">
        <v>781.63682584899016</v>
      </c>
      <c r="AZ32" s="197">
        <v>57.608800000000002</v>
      </c>
      <c r="BA32" s="214"/>
      <c r="BB32" s="197">
        <v>3142.2182011249315</v>
      </c>
      <c r="BC32" s="241">
        <f>BB32-AU32+AV32</f>
        <v>3142.2182011249315</v>
      </c>
      <c r="BD32" s="241">
        <f t="shared" si="108"/>
        <v>436.35252963088021</v>
      </c>
      <c r="BE32" s="241">
        <f t="shared" si="117"/>
        <v>3142.2182011249315</v>
      </c>
      <c r="BF32" s="241">
        <f t="shared" si="86"/>
        <v>436.35252963088021</v>
      </c>
      <c r="BG32" s="248">
        <f t="shared" si="118"/>
        <v>0</v>
      </c>
      <c r="BH32" s="221"/>
      <c r="BI32" s="213">
        <f t="shared" si="71"/>
        <v>95.838175000000007</v>
      </c>
      <c r="BJ32" s="197">
        <v>383352.7</v>
      </c>
      <c r="BK32" s="213">
        <v>0</v>
      </c>
      <c r="BL32" s="197">
        <f t="shared" si="82"/>
        <v>0</v>
      </c>
      <c r="BM32" s="197" t="s">
        <v>549</v>
      </c>
      <c r="BN32" s="221"/>
      <c r="BO32" s="241">
        <f t="shared" si="109"/>
        <v>7.2011000000000003</v>
      </c>
      <c r="BP32" s="241">
        <f t="shared" si="110"/>
        <v>78.540607353043285</v>
      </c>
      <c r="BQ32" s="242">
        <f t="shared" si="1"/>
        <v>1.2975999891760002</v>
      </c>
      <c r="BR32" s="241">
        <f t="shared" si="111"/>
        <v>3</v>
      </c>
      <c r="BS32" s="244">
        <f t="shared" si="112"/>
        <v>0.13440462942583487</v>
      </c>
      <c r="BT32" s="242">
        <f t="shared" si="113"/>
        <v>1.3131090886797743</v>
      </c>
      <c r="BU32" s="241">
        <f t="shared" si="114"/>
        <v>0</v>
      </c>
      <c r="BV32" s="221"/>
      <c r="CI32" s="221"/>
      <c r="CJ32" s="303" t="str">
        <f t="shared" si="18"/>
        <v>complex hydrodynamics</v>
      </c>
      <c r="CK32" s="304">
        <f t="shared" si="19"/>
        <v>3</v>
      </c>
      <c r="CL32" s="303" t="str">
        <f t="shared" si="20"/>
        <v>intermediate complexity water quality</v>
      </c>
      <c r="CM32" s="304">
        <f t="shared" si="21"/>
        <v>2</v>
      </c>
      <c r="CN32" s="303" t="str">
        <f t="shared" si="22"/>
        <v>shallow</v>
      </c>
      <c r="CO32" s="304">
        <f t="shared" si="23"/>
        <v>1</v>
      </c>
      <c r="CP32" s="303" t="str">
        <f t="shared" si="24"/>
        <v>very small</v>
      </c>
      <c r="CQ32" s="304">
        <f t="shared" si="25"/>
        <v>2</v>
      </c>
      <c r="CR32" s="303" t="str">
        <f t="shared" si="26"/>
        <v>very high</v>
      </c>
      <c r="CS32" s="304">
        <f t="shared" si="27"/>
        <v>5</v>
      </c>
      <c r="CT32" s="303" t="str">
        <f t="shared" si="28"/>
        <v>mouth</v>
      </c>
      <c r="CU32" s="304">
        <f t="shared" si="29"/>
        <v>4</v>
      </c>
      <c r="CV32" s="304">
        <f t="shared" si="30"/>
        <v>119</v>
      </c>
      <c r="CW32" s="304" t="str">
        <f t="shared" si="31"/>
        <v>intermediate complexity hydrodynamics</v>
      </c>
      <c r="CX32" s="304">
        <f t="shared" si="89"/>
        <v>67</v>
      </c>
      <c r="CY32" s="304" t="str">
        <f t="shared" si="32"/>
        <v>intermediate complexity water quality</v>
      </c>
      <c r="CZ32" s="216" t="s">
        <v>619</v>
      </c>
      <c r="DA32" s="252" t="str">
        <f t="shared" si="115"/>
        <v>-</v>
      </c>
      <c r="DB32" s="251" t="str">
        <f t="shared" si="33"/>
        <v>intermediate complexity hydrodynamics; intermediate complexity water quality</v>
      </c>
      <c r="DC32" s="227"/>
      <c r="DD32" s="475" t="str">
        <f t="shared" si="73"/>
        <v>Bride Brook</v>
      </c>
      <c r="DE32" s="475">
        <f t="shared" si="74"/>
        <v>25</v>
      </c>
      <c r="DF32" s="465">
        <f t="shared" si="34"/>
        <v>10.98</v>
      </c>
      <c r="DG32" s="466">
        <f t="shared" si="35"/>
        <v>7.0000000000000007E-2</v>
      </c>
      <c r="DH32" s="465">
        <f t="shared" si="36"/>
        <v>2.38</v>
      </c>
      <c r="DI32" s="465">
        <f t="shared" si="37"/>
        <v>30.3</v>
      </c>
      <c r="DJ32" s="465">
        <f t="shared" si="38"/>
        <v>79</v>
      </c>
      <c r="DK32" s="465">
        <f t="shared" si="39"/>
        <v>0.5</v>
      </c>
      <c r="DL32" s="465">
        <f t="shared" si="40"/>
        <v>0.5</v>
      </c>
      <c r="DM32" s="465">
        <f t="shared" si="41"/>
        <v>1.3</v>
      </c>
      <c r="DN32" s="465">
        <f t="shared" si="42"/>
        <v>0</v>
      </c>
      <c r="DO32" s="465">
        <f t="shared" si="43"/>
        <v>7201</v>
      </c>
      <c r="DP32" s="465">
        <f t="shared" si="44"/>
        <v>71665</v>
      </c>
      <c r="DQ32" s="467">
        <f t="shared" si="45"/>
        <v>1</v>
      </c>
      <c r="DR32" s="467">
        <f t="shared" si="46"/>
        <v>3</v>
      </c>
      <c r="DS32" s="467">
        <f t="shared" si="47"/>
        <v>19264</v>
      </c>
      <c r="DT32" s="467">
        <f t="shared" si="48"/>
        <v>0.4</v>
      </c>
      <c r="DU32" s="467">
        <f t="shared" si="49"/>
        <v>0.1</v>
      </c>
      <c r="DV32" s="467">
        <f t="shared" si="50"/>
        <v>95.84</v>
      </c>
      <c r="DW32" s="467">
        <f t="shared" si="51"/>
        <v>0</v>
      </c>
      <c r="DX32" s="467">
        <f t="shared" si="52"/>
        <v>100</v>
      </c>
      <c r="DY32" s="467">
        <f t="shared" si="53"/>
        <v>100</v>
      </c>
      <c r="DZ32" s="467">
        <f t="shared" si="54"/>
        <v>100</v>
      </c>
      <c r="EA32" s="467">
        <f t="shared" si="55"/>
        <v>3142</v>
      </c>
      <c r="EB32" s="467">
        <f t="shared" si="56"/>
        <v>436</v>
      </c>
      <c r="EC32" s="467">
        <f t="shared" si="57"/>
        <v>0</v>
      </c>
      <c r="ED32" s="467">
        <f t="shared" si="58"/>
        <v>0.13439999999999999</v>
      </c>
      <c r="EE32" s="467">
        <f t="shared" si="59"/>
        <v>1.31</v>
      </c>
      <c r="EF32" s="138">
        <f t="shared" si="75"/>
        <v>1.5</v>
      </c>
      <c r="EG32" s="138" t="str">
        <f t="shared" si="76"/>
        <v>unlikely, too shallow</v>
      </c>
      <c r="EH32" s="138">
        <f t="shared" si="77"/>
        <v>3.91</v>
      </c>
      <c r="EI32" s="138">
        <f t="shared" si="78"/>
        <v>1.61</v>
      </c>
      <c r="EJ32" s="138">
        <f t="shared" si="79"/>
        <v>1.29</v>
      </c>
    </row>
    <row r="33" spans="1:140" ht="44" customHeight="1" x14ac:dyDescent="0.35">
      <c r="A33" s="388">
        <v>26</v>
      </c>
      <c r="B33" s="215" t="s">
        <v>427</v>
      </c>
      <c r="C33" s="210">
        <v>26</v>
      </c>
      <c r="D33" s="196"/>
      <c r="E33" s="221"/>
      <c r="F33" s="197">
        <v>79423</v>
      </c>
      <c r="G33" s="197">
        <v>1254.7840000000001</v>
      </c>
      <c r="H33" s="241">
        <f t="shared" si="60"/>
        <v>63.296152963378553</v>
      </c>
      <c r="I33" s="241">
        <f t="shared" si="61"/>
        <v>19.824016804401751</v>
      </c>
      <c r="J33" s="212">
        <v>0</v>
      </c>
      <c r="K33" s="213">
        <v>0.54997922516147701</v>
      </c>
      <c r="L33" s="213">
        <v>0.45</v>
      </c>
      <c r="M33" s="213">
        <v>1.303799974918</v>
      </c>
      <c r="N33" s="241">
        <f>F33*MAX(0.1,(K33-S33))</f>
        <v>7942.3</v>
      </c>
      <c r="O33" s="221"/>
      <c r="P33" s="241">
        <f t="shared" si="62"/>
        <v>35438.962308736103</v>
      </c>
      <c r="Q33" s="241">
        <f>P33</f>
        <v>35438.962308736103</v>
      </c>
      <c r="R33" s="242">
        <f t="shared" si="96"/>
        <v>1.007599949836</v>
      </c>
      <c r="S33" s="213">
        <v>0.50379997491799999</v>
      </c>
      <c r="T33" s="241">
        <f t="shared" si="97"/>
        <v>80026.610815824621</v>
      </c>
      <c r="U33" s="197">
        <v>3</v>
      </c>
      <c r="V33" s="243">
        <f t="shared" si="98"/>
        <v>1.0885213539246601</v>
      </c>
      <c r="W33" s="243">
        <f t="shared" si="99"/>
        <v>3.4078822228814669</v>
      </c>
      <c r="X33" s="241">
        <f t="shared" si="100"/>
        <v>160053.22163164924</v>
      </c>
      <c r="Y33" s="242">
        <f t="shared" si="101"/>
        <v>9.9245737374516849E-2</v>
      </c>
      <c r="Z33" s="243">
        <f t="shared" si="102"/>
        <v>0.22411209252710354</v>
      </c>
      <c r="AA33" s="243">
        <f t="shared" si="103"/>
        <v>0.22141986238987602</v>
      </c>
      <c r="AB33" s="245">
        <f t="shared" si="104"/>
        <v>4.9696303213371359E-2</v>
      </c>
      <c r="AC33" s="245">
        <f t="shared" si="65"/>
        <v>0.7481458178891246</v>
      </c>
      <c r="AD33" s="245">
        <f t="shared" si="105"/>
        <v>10.075999498359998</v>
      </c>
      <c r="AE33" s="245">
        <f t="shared" si="106"/>
        <v>0.22910805205619117</v>
      </c>
      <c r="AF33" s="221"/>
      <c r="AG33" s="211">
        <v>-72.248705000000001</v>
      </c>
      <c r="AH33" s="242">
        <f>(AG33^2*-0.304-43.623*AG33-1561.6)*0.4012-0.2907</f>
        <v>1.0184735594320198</v>
      </c>
      <c r="AI33" s="242">
        <f t="shared" si="66"/>
        <v>1.1782338273653501</v>
      </c>
      <c r="AJ33" s="242">
        <f t="shared" si="67"/>
        <v>3.9085367259279229</v>
      </c>
      <c r="AK33" s="242">
        <f t="shared" si="68"/>
        <v>1.6101387863969525</v>
      </c>
      <c r="AL33" s="242">
        <f t="shared" si="69"/>
        <v>1.2850825510718176</v>
      </c>
      <c r="AM33" s="213">
        <v>0.50379997491799999</v>
      </c>
      <c r="AN33" s="212">
        <v>0.99996222756632203</v>
      </c>
      <c r="AO33" s="212">
        <v>0.99996222756632203</v>
      </c>
      <c r="AP33" s="212">
        <v>0.99996222756632203</v>
      </c>
      <c r="AQ33" s="484">
        <f t="shared" si="70"/>
        <v>1.503799974918</v>
      </c>
      <c r="AR33" s="247" t="str">
        <f t="shared" si="84"/>
        <v>unlikely, too shallow</v>
      </c>
      <c r="AS33" s="221"/>
      <c r="AT33" s="197">
        <v>20322810</v>
      </c>
      <c r="AU33" s="197">
        <v>0</v>
      </c>
      <c r="AV33" s="197">
        <v>0</v>
      </c>
      <c r="AW33" s="197">
        <v>1487.3699650706508</v>
      </c>
      <c r="AX33" s="197">
        <v>993.57812823981169</v>
      </c>
      <c r="AY33" s="197">
        <v>1001.575686554666</v>
      </c>
      <c r="AZ33" s="197">
        <v>63.538400000000003</v>
      </c>
      <c r="BA33" s="214"/>
      <c r="BB33" s="197">
        <v>3546.0621798651287</v>
      </c>
      <c r="BC33" s="241">
        <f>BB33-AU33+AV33</f>
        <v>3546.0621798651287</v>
      </c>
      <c r="BD33" s="241">
        <f t="shared" si="108"/>
        <v>446.47799502223899</v>
      </c>
      <c r="BE33" s="241">
        <f t="shared" si="117"/>
        <v>3546.0621798651287</v>
      </c>
      <c r="BF33" s="241">
        <f t="shared" si="86"/>
        <v>446.47799502223899</v>
      </c>
      <c r="BG33" s="248">
        <f t="shared" si="118"/>
        <v>0</v>
      </c>
      <c r="BH33" s="221"/>
      <c r="BI33" s="213">
        <f t="shared" si="71"/>
        <v>18.130970000000001</v>
      </c>
      <c r="BJ33" s="197">
        <v>72523.88</v>
      </c>
      <c r="BK33" s="213">
        <v>0</v>
      </c>
      <c r="BL33" s="197">
        <f t="shared" si="82"/>
        <v>0</v>
      </c>
      <c r="BM33" s="197" t="s">
        <v>549</v>
      </c>
      <c r="BN33" s="221"/>
      <c r="BO33" s="241">
        <f t="shared" si="109"/>
        <v>7.9423000000000004</v>
      </c>
      <c r="BP33" s="241">
        <f t="shared" si="110"/>
        <v>19.824016804401751</v>
      </c>
      <c r="BQ33" s="242">
        <f t="shared" si="1"/>
        <v>1.303799974918</v>
      </c>
      <c r="BR33" s="241">
        <f t="shared" si="111"/>
        <v>3</v>
      </c>
      <c r="BS33" s="244">
        <f t="shared" si="112"/>
        <v>0.22141986238987602</v>
      </c>
      <c r="BT33" s="242">
        <f t="shared" si="113"/>
        <v>0.7481458178891246</v>
      </c>
      <c r="BU33" s="241">
        <f t="shared" si="114"/>
        <v>0</v>
      </c>
      <c r="BV33" s="221"/>
      <c r="CI33" s="221"/>
      <c r="CJ33" s="303" t="str">
        <f t="shared" si="18"/>
        <v>complex hydrodynamics</v>
      </c>
      <c r="CK33" s="304">
        <f t="shared" si="19"/>
        <v>3</v>
      </c>
      <c r="CL33" s="303" t="str">
        <f t="shared" si="20"/>
        <v>simple complexity water quality</v>
      </c>
      <c r="CM33" s="304">
        <f t="shared" si="21"/>
        <v>1</v>
      </c>
      <c r="CN33" s="303" t="str">
        <f t="shared" si="22"/>
        <v>shallow</v>
      </c>
      <c r="CO33" s="304">
        <f t="shared" si="23"/>
        <v>1</v>
      </c>
      <c r="CP33" s="303" t="str">
        <f t="shared" si="24"/>
        <v>very small</v>
      </c>
      <c r="CQ33" s="304">
        <f t="shared" si="25"/>
        <v>2</v>
      </c>
      <c r="CR33" s="303" t="str">
        <f t="shared" si="26"/>
        <v>low</v>
      </c>
      <c r="CS33" s="304">
        <f t="shared" si="27"/>
        <v>2</v>
      </c>
      <c r="CT33" s="303" t="str">
        <f t="shared" si="28"/>
        <v>mouth</v>
      </c>
      <c r="CU33" s="304">
        <f t="shared" si="29"/>
        <v>4</v>
      </c>
      <c r="CV33" s="304">
        <f t="shared" si="30"/>
        <v>106</v>
      </c>
      <c r="CW33" s="304" t="str">
        <f t="shared" si="31"/>
        <v>intermediate complexity hydrodynamics</v>
      </c>
      <c r="CX33" s="304">
        <f t="shared" si="89"/>
        <v>49</v>
      </c>
      <c r="CY33" s="304" t="str">
        <f t="shared" si="32"/>
        <v>simple complexity water quality</v>
      </c>
      <c r="CZ33" s="216" t="s">
        <v>640</v>
      </c>
      <c r="DA33" s="252" t="str">
        <f t="shared" si="115"/>
        <v>-</v>
      </c>
      <c r="DB33" s="251" t="str">
        <f t="shared" si="33"/>
        <v>intermediate complexity hydrodynamics; simple complexity water quality</v>
      </c>
      <c r="DC33" s="227"/>
      <c r="DD33" s="475" t="str">
        <f t="shared" si="73"/>
        <v>Four Mile River</v>
      </c>
      <c r="DE33" s="475">
        <f t="shared" si="74"/>
        <v>26</v>
      </c>
      <c r="DF33" s="465">
        <f t="shared" si="34"/>
        <v>20.32</v>
      </c>
      <c r="DG33" s="466">
        <f t="shared" si="35"/>
        <v>0.08</v>
      </c>
      <c r="DH33" s="465">
        <f t="shared" si="36"/>
        <v>1.25</v>
      </c>
      <c r="DI33" s="465">
        <f t="shared" si="37"/>
        <v>63.3</v>
      </c>
      <c r="DJ33" s="465">
        <f t="shared" si="38"/>
        <v>20</v>
      </c>
      <c r="DK33" s="465">
        <f t="shared" si="39"/>
        <v>0.5</v>
      </c>
      <c r="DL33" s="465">
        <f t="shared" si="40"/>
        <v>0.5</v>
      </c>
      <c r="DM33" s="465">
        <f t="shared" si="41"/>
        <v>1.3</v>
      </c>
      <c r="DN33" s="465">
        <f t="shared" si="42"/>
        <v>0</v>
      </c>
      <c r="DO33" s="465">
        <f t="shared" si="43"/>
        <v>7942</v>
      </c>
      <c r="DP33" s="465">
        <f t="shared" si="44"/>
        <v>80027</v>
      </c>
      <c r="DQ33" s="467">
        <f t="shared" si="45"/>
        <v>1.01</v>
      </c>
      <c r="DR33" s="467">
        <f t="shared" si="46"/>
        <v>3</v>
      </c>
      <c r="DS33" s="467">
        <f t="shared" si="47"/>
        <v>35439</v>
      </c>
      <c r="DT33" s="467">
        <f t="shared" si="48"/>
        <v>0.2</v>
      </c>
      <c r="DU33" s="467">
        <f t="shared" si="49"/>
        <v>0.1</v>
      </c>
      <c r="DV33" s="467">
        <f t="shared" si="50"/>
        <v>18.13</v>
      </c>
      <c r="DW33" s="467">
        <f t="shared" si="51"/>
        <v>0</v>
      </c>
      <c r="DX33" s="467">
        <f t="shared" si="52"/>
        <v>100</v>
      </c>
      <c r="DY33" s="467">
        <f t="shared" si="53"/>
        <v>100</v>
      </c>
      <c r="DZ33" s="467">
        <f t="shared" si="54"/>
        <v>100</v>
      </c>
      <c r="EA33" s="467">
        <f t="shared" si="55"/>
        <v>3546</v>
      </c>
      <c r="EB33" s="467">
        <f t="shared" si="56"/>
        <v>446</v>
      </c>
      <c r="EC33" s="467">
        <f t="shared" si="57"/>
        <v>0</v>
      </c>
      <c r="ED33" s="467">
        <f t="shared" si="58"/>
        <v>0.22142000000000001</v>
      </c>
      <c r="EE33" s="467">
        <f t="shared" si="59"/>
        <v>0.75</v>
      </c>
      <c r="EF33" s="138">
        <f t="shared" si="75"/>
        <v>1.5</v>
      </c>
      <c r="EG33" s="138" t="str">
        <f t="shared" si="76"/>
        <v>unlikely, too shallow</v>
      </c>
      <c r="EH33" s="138">
        <f t="shared" si="77"/>
        <v>3.91</v>
      </c>
      <c r="EI33" s="138">
        <f t="shared" si="78"/>
        <v>1.61</v>
      </c>
      <c r="EJ33" s="138">
        <f t="shared" si="79"/>
        <v>1.29</v>
      </c>
    </row>
    <row r="34" spans="1:140" ht="44" customHeight="1" x14ac:dyDescent="0.35">
      <c r="A34" s="388">
        <v>27</v>
      </c>
      <c r="B34" s="215" t="s">
        <v>428</v>
      </c>
      <c r="C34" s="210">
        <v>27</v>
      </c>
      <c r="D34" s="196"/>
      <c r="E34" s="221"/>
      <c r="F34" s="197">
        <v>40406</v>
      </c>
      <c r="G34" s="197">
        <v>1031.55</v>
      </c>
      <c r="H34" s="241">
        <f t="shared" si="60"/>
        <v>39.170180795889685</v>
      </c>
      <c r="I34" s="241">
        <f t="shared" si="61"/>
        <v>26.335083960302921</v>
      </c>
      <c r="J34" s="212">
        <v>0</v>
      </c>
      <c r="K34" s="213">
        <v>0.54995916448052296</v>
      </c>
      <c r="L34" s="213">
        <v>0.45</v>
      </c>
      <c r="M34" s="213">
        <v>1.306099998951</v>
      </c>
      <c r="N34" s="241">
        <f>F34*MAX(0.1,(K34-S34))</f>
        <v>4040.6000000000004</v>
      </c>
      <c r="O34" s="221"/>
      <c r="P34" s="241">
        <f t="shared" si="62"/>
        <v>7728.0560368953802</v>
      </c>
      <c r="Q34" s="241">
        <f>P34</f>
        <v>7728.0560368953802</v>
      </c>
      <c r="R34" s="242">
        <f t="shared" si="96"/>
        <v>1.012199997902</v>
      </c>
      <c r="S34" s="213">
        <v>0.506099998951</v>
      </c>
      <c r="T34" s="241">
        <f t="shared" si="97"/>
        <v>40898.953115228214</v>
      </c>
      <c r="U34" s="197">
        <v>4</v>
      </c>
      <c r="V34" s="243">
        <f t="shared" si="98"/>
        <v>0.90285074389937492</v>
      </c>
      <c r="W34" s="243">
        <f t="shared" si="99"/>
        <v>2.82519038951625</v>
      </c>
      <c r="X34" s="241">
        <f t="shared" si="100"/>
        <v>81797.906230456429</v>
      </c>
      <c r="Y34" s="242">
        <f t="shared" si="101"/>
        <v>9.8794704808606304E-2</v>
      </c>
      <c r="Z34" s="243">
        <f t="shared" si="102"/>
        <v>0.52284817562260399</v>
      </c>
      <c r="AA34" s="243">
        <f t="shared" si="103"/>
        <v>9.4477430939643475E-2</v>
      </c>
      <c r="AB34" s="245">
        <f t="shared" si="104"/>
        <v>3.5048334760529785E-2</v>
      </c>
      <c r="AC34" s="245">
        <f t="shared" si="65"/>
        <v>1.2365681557295334</v>
      </c>
      <c r="AD34" s="245">
        <f t="shared" si="105"/>
        <v>10.12199997902</v>
      </c>
      <c r="AE34" s="245">
        <f t="shared" si="106"/>
        <v>9.7757897291714413E-2</v>
      </c>
      <c r="AF34" s="221"/>
      <c r="AG34" s="211">
        <v>-72.252516999999997</v>
      </c>
      <c r="AH34" s="242">
        <f>(AG34^2*-0.304-43.623*AG34-1561.6)*0.4012-0.2907</f>
        <v>1.0180065320957978</v>
      </c>
      <c r="AI34" s="242">
        <f t="shared" si="66"/>
        <v>1.178774361623719</v>
      </c>
      <c r="AJ34" s="242">
        <f t="shared" si="67"/>
        <v>3.9067444422905804</v>
      </c>
      <c r="AK34" s="242">
        <f t="shared" si="68"/>
        <v>1.6094004473194237</v>
      </c>
      <c r="AL34" s="242">
        <f t="shared" si="69"/>
        <v>1.2844932685370927</v>
      </c>
      <c r="AM34" s="213">
        <v>0.506099998951</v>
      </c>
      <c r="AN34" s="212">
        <v>0.99992575360095004</v>
      </c>
      <c r="AO34" s="212">
        <v>0.99992575360095004</v>
      </c>
      <c r="AP34" s="212">
        <v>0.99992575360095004</v>
      </c>
      <c r="AQ34" s="484">
        <f t="shared" si="70"/>
        <v>1.506099998951</v>
      </c>
      <c r="AR34" s="247" t="str">
        <f t="shared" si="84"/>
        <v>unlikely, too shallow</v>
      </c>
      <c r="AS34" s="221"/>
      <c r="AT34" s="197">
        <v>4364074</v>
      </c>
      <c r="AU34" s="197">
        <v>0</v>
      </c>
      <c r="AV34" s="197">
        <v>0</v>
      </c>
      <c r="AW34" s="197">
        <v>643.95099547814959</v>
      </c>
      <c r="AX34" s="197">
        <v>173.34689101562401</v>
      </c>
      <c r="AY34" s="197">
        <v>295.65091529244359</v>
      </c>
      <c r="AZ34" s="197">
        <v>32.324800000000003</v>
      </c>
      <c r="BA34" s="214"/>
      <c r="BB34" s="197">
        <v>1145.2736017862171</v>
      </c>
      <c r="BC34" s="241">
        <f>BB34-AU34+AV34</f>
        <v>1145.2736017862171</v>
      </c>
      <c r="BD34" s="241">
        <f t="shared" si="108"/>
        <v>283.44146953081651</v>
      </c>
      <c r="BE34" s="241">
        <f t="shared" si="117"/>
        <v>1145.2736017862171</v>
      </c>
      <c r="BF34" s="241">
        <f t="shared" si="86"/>
        <v>283.44146953081651</v>
      </c>
      <c r="BG34" s="248">
        <f t="shared" si="118"/>
        <v>0</v>
      </c>
      <c r="BH34" s="221"/>
      <c r="BI34" s="213">
        <f t="shared" si="71"/>
        <v>25.680800000000005</v>
      </c>
      <c r="BJ34" s="197">
        <v>102723.20000000001</v>
      </c>
      <c r="BK34" s="213">
        <v>0</v>
      </c>
      <c r="BL34" s="197">
        <f t="shared" si="82"/>
        <v>0</v>
      </c>
      <c r="BM34" s="197" t="s">
        <v>549</v>
      </c>
      <c r="BN34" s="221"/>
      <c r="BO34" s="241">
        <f t="shared" si="109"/>
        <v>4.0406000000000004</v>
      </c>
      <c r="BP34" s="241">
        <f t="shared" si="110"/>
        <v>26.335083960302921</v>
      </c>
      <c r="BQ34" s="242">
        <f t="shared" ref="BQ34:BQ65" si="119">M34</f>
        <v>1.306099998951</v>
      </c>
      <c r="BR34" s="241">
        <f t="shared" si="111"/>
        <v>4</v>
      </c>
      <c r="BS34" s="244">
        <f t="shared" si="112"/>
        <v>9.4477430939643475E-2</v>
      </c>
      <c r="BT34" s="242">
        <f t="shared" si="113"/>
        <v>1.2365681557295334</v>
      </c>
      <c r="BU34" s="241">
        <f t="shared" si="114"/>
        <v>0</v>
      </c>
      <c r="BV34" s="221"/>
      <c r="CI34" s="221"/>
      <c r="CJ34" s="303" t="str">
        <f t="shared" si="18"/>
        <v>complex hydrodynamics</v>
      </c>
      <c r="CK34" s="304">
        <f t="shared" si="19"/>
        <v>3</v>
      </c>
      <c r="CL34" s="303" t="str">
        <f t="shared" si="20"/>
        <v>intermediate complexity water quality</v>
      </c>
      <c r="CM34" s="304">
        <f t="shared" si="21"/>
        <v>2</v>
      </c>
      <c r="CN34" s="303" t="str">
        <f t="shared" si="22"/>
        <v>shallow</v>
      </c>
      <c r="CO34" s="304">
        <f t="shared" si="23"/>
        <v>1</v>
      </c>
      <c r="CP34" s="303" t="str">
        <f t="shared" si="24"/>
        <v>tiny</v>
      </c>
      <c r="CQ34" s="304">
        <f t="shared" si="25"/>
        <v>1</v>
      </c>
      <c r="CR34" s="303" t="str">
        <f t="shared" si="26"/>
        <v>moderate</v>
      </c>
      <c r="CS34" s="304">
        <f t="shared" si="27"/>
        <v>3</v>
      </c>
      <c r="CT34" s="303" t="str">
        <f t="shared" si="28"/>
        <v>multiple</v>
      </c>
      <c r="CU34" s="304">
        <f t="shared" si="29"/>
        <v>5</v>
      </c>
      <c r="CV34" s="304">
        <f t="shared" si="30"/>
        <v>108</v>
      </c>
      <c r="CW34" s="304" t="str">
        <f t="shared" si="31"/>
        <v>intermediate complexity hydrodynamics</v>
      </c>
      <c r="CX34" s="304">
        <f t="shared" si="89"/>
        <v>62</v>
      </c>
      <c r="CY34" s="304" t="str">
        <f t="shared" si="32"/>
        <v>intermediate complexity water quality</v>
      </c>
      <c r="CZ34" s="216" t="s">
        <v>620</v>
      </c>
      <c r="DA34" s="252" t="str">
        <f t="shared" si="115"/>
        <v>-</v>
      </c>
      <c r="DB34" s="251" t="str">
        <f t="shared" si="33"/>
        <v>intermediate complexity hydrodynamics; intermediate complexity water quality</v>
      </c>
      <c r="DC34" s="227"/>
      <c r="DD34" s="475" t="str">
        <f t="shared" si="73"/>
        <v>Threemile River</v>
      </c>
      <c r="DE34" s="475">
        <f t="shared" si="74"/>
        <v>27</v>
      </c>
      <c r="DF34" s="465">
        <f t="shared" si="34"/>
        <v>4.3600000000000003</v>
      </c>
      <c r="DG34" s="466">
        <f t="shared" si="35"/>
        <v>0.04</v>
      </c>
      <c r="DH34" s="465">
        <f t="shared" si="36"/>
        <v>1.03</v>
      </c>
      <c r="DI34" s="465">
        <f t="shared" si="37"/>
        <v>39.200000000000003</v>
      </c>
      <c r="DJ34" s="465">
        <f t="shared" si="38"/>
        <v>26</v>
      </c>
      <c r="DK34" s="465">
        <f t="shared" si="39"/>
        <v>0.5</v>
      </c>
      <c r="DL34" s="465">
        <f t="shared" si="40"/>
        <v>0.5</v>
      </c>
      <c r="DM34" s="465">
        <f t="shared" si="41"/>
        <v>1.3</v>
      </c>
      <c r="DN34" s="465">
        <f t="shared" si="42"/>
        <v>0</v>
      </c>
      <c r="DO34" s="465">
        <f t="shared" si="43"/>
        <v>4041</v>
      </c>
      <c r="DP34" s="465">
        <f t="shared" si="44"/>
        <v>40899</v>
      </c>
      <c r="DQ34" s="467">
        <f t="shared" si="45"/>
        <v>1.01</v>
      </c>
      <c r="DR34" s="467">
        <f t="shared" si="46"/>
        <v>4</v>
      </c>
      <c r="DS34" s="467">
        <f t="shared" si="47"/>
        <v>7728</v>
      </c>
      <c r="DT34" s="467">
        <f t="shared" si="48"/>
        <v>0.5</v>
      </c>
      <c r="DU34" s="467">
        <f t="shared" si="49"/>
        <v>0.1</v>
      </c>
      <c r="DV34" s="467">
        <f t="shared" si="50"/>
        <v>25.68</v>
      </c>
      <c r="DW34" s="467">
        <f t="shared" si="51"/>
        <v>0</v>
      </c>
      <c r="DX34" s="467">
        <f t="shared" si="52"/>
        <v>100</v>
      </c>
      <c r="DY34" s="467">
        <f t="shared" si="53"/>
        <v>100</v>
      </c>
      <c r="DZ34" s="467">
        <f t="shared" si="54"/>
        <v>100</v>
      </c>
      <c r="EA34" s="467">
        <f t="shared" si="55"/>
        <v>1145</v>
      </c>
      <c r="EB34" s="467">
        <f t="shared" si="56"/>
        <v>283</v>
      </c>
      <c r="EC34" s="467">
        <f t="shared" si="57"/>
        <v>0</v>
      </c>
      <c r="ED34" s="467">
        <f t="shared" si="58"/>
        <v>9.4479999999999995E-2</v>
      </c>
      <c r="EE34" s="467">
        <f t="shared" si="59"/>
        <v>1.24</v>
      </c>
      <c r="EF34" s="138">
        <f t="shared" si="75"/>
        <v>1.51</v>
      </c>
      <c r="EG34" s="138" t="str">
        <f t="shared" si="76"/>
        <v>unlikely, too shallow</v>
      </c>
      <c r="EH34" s="138">
        <f t="shared" si="77"/>
        <v>3.91</v>
      </c>
      <c r="EI34" s="138">
        <f t="shared" si="78"/>
        <v>1.61</v>
      </c>
      <c r="EJ34" s="138">
        <f t="shared" si="79"/>
        <v>1.28</v>
      </c>
    </row>
    <row r="35" spans="1:140" ht="44" customHeight="1" x14ac:dyDescent="0.35">
      <c r="A35" s="388">
        <v>28</v>
      </c>
      <c r="B35" s="215" t="s">
        <v>429</v>
      </c>
      <c r="C35" s="210">
        <v>28</v>
      </c>
      <c r="D35" s="196" t="s">
        <v>398</v>
      </c>
      <c r="E35" s="221"/>
      <c r="F35" s="197">
        <v>394493</v>
      </c>
      <c r="G35" s="197">
        <v>3235.424</v>
      </c>
      <c r="H35" s="241">
        <f t="shared" si="60"/>
        <v>121.92930509262465</v>
      </c>
      <c r="I35" s="241">
        <f t="shared" si="61"/>
        <v>26.535245136861743</v>
      </c>
      <c r="J35" s="212">
        <v>0.18717949367922879</v>
      </c>
      <c r="K35" s="213">
        <v>0.696621148326248</v>
      </c>
      <c r="L35" s="213">
        <v>0.65</v>
      </c>
      <c r="M35" s="213">
        <v>2.31</v>
      </c>
      <c r="N35" s="241">
        <f>F35*MAX(0.1,(K35-S35))</f>
        <v>73778.540300058405</v>
      </c>
      <c r="O35" s="221"/>
      <c r="P35" s="241">
        <f t="shared" si="62"/>
        <v>26020.581460309106</v>
      </c>
      <c r="Q35" s="241">
        <f>P35</f>
        <v>26020.581460309106</v>
      </c>
      <c r="R35" s="242">
        <f t="shared" si="96"/>
        <v>1.019199967384</v>
      </c>
      <c r="S35" s="213">
        <v>0.50959998369199999</v>
      </c>
      <c r="T35" s="241">
        <f t="shared" si="97"/>
        <v>402067.25273321633</v>
      </c>
      <c r="U35" s="197">
        <v>2</v>
      </c>
      <c r="V35" s="243">
        <f t="shared" si="98"/>
        <v>2.5306633075928597</v>
      </c>
      <c r="W35" s="243">
        <f t="shared" si="99"/>
        <v>7.967518774944133</v>
      </c>
      <c r="X35" s="241">
        <f t="shared" si="100"/>
        <v>804134.50546643266</v>
      </c>
      <c r="Y35" s="242">
        <f t="shared" si="101"/>
        <v>0.18349800884931228</v>
      </c>
      <c r="Z35" s="243">
        <f t="shared" si="102"/>
        <v>2.8353916845631462</v>
      </c>
      <c r="AA35" s="243">
        <f t="shared" si="103"/>
        <v>3.2358493863182812E-2</v>
      </c>
      <c r="AB35" s="245">
        <f t="shared" si="104"/>
        <v>1.6777223701110767E-2</v>
      </c>
      <c r="AC35" s="245">
        <f t="shared" si="65"/>
        <v>1.7282658222647516</v>
      </c>
      <c r="AD35" s="245">
        <f t="shared" si="105"/>
        <v>5.4496504145785876</v>
      </c>
      <c r="AE35" s="245">
        <f t="shared" si="106"/>
        <v>3.3482052677876656E-2</v>
      </c>
      <c r="AF35" s="221"/>
      <c r="AG35" s="211">
        <v>-72.324212000000003</v>
      </c>
      <c r="AH35" s="242">
        <f>(AG35^2*-0.304-43.623*AG35-1561.6)*0.4012-0.2907</f>
        <v>1.0085625629141135</v>
      </c>
      <c r="AI35" s="242">
        <f t="shared" si="66"/>
        <v>1.1898121585365535</v>
      </c>
      <c r="AJ35" s="242">
        <f t="shared" si="67"/>
        <v>3.8705018711965113</v>
      </c>
      <c r="AK35" s="242">
        <f t="shared" si="68"/>
        <v>1.5944701617600741</v>
      </c>
      <c r="AL35" s="242">
        <f t="shared" si="69"/>
        <v>1.2725771221670183</v>
      </c>
      <c r="AM35" s="213">
        <v>0.50959998369199999</v>
      </c>
      <c r="AN35" s="212">
        <v>0.99999493020154995</v>
      </c>
      <c r="AO35" s="212">
        <v>0.96879834792167796</v>
      </c>
      <c r="AP35" s="212">
        <v>0.90640518336193499</v>
      </c>
      <c r="AQ35" s="484">
        <f t="shared" si="70"/>
        <v>1.509599983692</v>
      </c>
      <c r="AR35" s="247" t="str">
        <f t="shared" si="84"/>
        <v>marginally possible now</v>
      </c>
      <c r="AS35" s="221"/>
      <c r="AT35" s="197">
        <v>14875260</v>
      </c>
      <c r="AU35" s="197">
        <v>0</v>
      </c>
      <c r="AV35" s="197">
        <v>0</v>
      </c>
      <c r="AW35" s="197">
        <v>2164.9869614545646</v>
      </c>
      <c r="AX35" s="197">
        <v>1483.3399155722464</v>
      </c>
      <c r="AY35" s="197">
        <v>1119.6883469677146</v>
      </c>
      <c r="AZ35" s="197">
        <v>315.59440000000001</v>
      </c>
      <c r="BA35" s="214"/>
      <c r="BB35" s="197">
        <v>5083.6096239945255</v>
      </c>
      <c r="BC35" s="241">
        <f>BB35-AU35+AV35</f>
        <v>5083.6096239945255</v>
      </c>
      <c r="BD35" s="241">
        <f t="shared" si="108"/>
        <v>128.86438096479597</v>
      </c>
      <c r="BE35" s="241">
        <f t="shared" si="117"/>
        <v>5083.6096239945255</v>
      </c>
      <c r="BF35" s="241">
        <f t="shared" si="86"/>
        <v>128.86438096479597</v>
      </c>
      <c r="BG35" s="248">
        <f t="shared" si="118"/>
        <v>0</v>
      </c>
      <c r="BH35" s="221"/>
      <c r="BI35" s="213">
        <f t="shared" si="71"/>
        <v>268.81150000000002</v>
      </c>
      <c r="BJ35" s="197">
        <v>1075246</v>
      </c>
      <c r="BK35" s="213">
        <v>0</v>
      </c>
      <c r="BL35" s="197">
        <f t="shared" si="82"/>
        <v>0</v>
      </c>
      <c r="BM35" s="197" t="s">
        <v>549</v>
      </c>
      <c r="BN35" s="221"/>
      <c r="BO35" s="241">
        <f t="shared" si="109"/>
        <v>39.449300000000001</v>
      </c>
      <c r="BP35" s="241">
        <f t="shared" si="110"/>
        <v>26.535245136861743</v>
      </c>
      <c r="BQ35" s="242">
        <f t="shared" si="119"/>
        <v>2.31</v>
      </c>
      <c r="BR35" s="241">
        <f t="shared" si="111"/>
        <v>2</v>
      </c>
      <c r="BS35" s="244">
        <f t="shared" si="112"/>
        <v>3.2358493863182812E-2</v>
      </c>
      <c r="BT35" s="242">
        <f t="shared" si="113"/>
        <v>1.7282658222647516</v>
      </c>
      <c r="BU35" s="241">
        <f t="shared" si="114"/>
        <v>0</v>
      </c>
      <c r="BV35" s="221"/>
      <c r="CI35" s="221"/>
      <c r="CJ35" s="303" t="str">
        <f t="shared" si="18"/>
        <v>intermediate complexity hydrodynamics</v>
      </c>
      <c r="CK35" s="304">
        <f t="shared" si="19"/>
        <v>2</v>
      </c>
      <c r="CL35" s="303" t="str">
        <f t="shared" si="20"/>
        <v>intermediate complexity water quality</v>
      </c>
      <c r="CM35" s="304">
        <f t="shared" si="21"/>
        <v>2</v>
      </c>
      <c r="CN35" s="303" t="str">
        <f t="shared" si="22"/>
        <v>shallow</v>
      </c>
      <c r="CO35" s="304">
        <f t="shared" si="23"/>
        <v>1</v>
      </c>
      <c r="CP35" s="303" t="str">
        <f t="shared" si="24"/>
        <v>small</v>
      </c>
      <c r="CQ35" s="304">
        <f t="shared" si="25"/>
        <v>3</v>
      </c>
      <c r="CR35" s="303" t="str">
        <f t="shared" si="26"/>
        <v>moderate</v>
      </c>
      <c r="CS35" s="304">
        <f t="shared" si="27"/>
        <v>3</v>
      </c>
      <c r="CT35" s="303" t="str">
        <f t="shared" si="28"/>
        <v>mid-estuary</v>
      </c>
      <c r="CU35" s="304">
        <f t="shared" si="29"/>
        <v>3</v>
      </c>
      <c r="CV35" s="304">
        <f t="shared" si="30"/>
        <v>106</v>
      </c>
      <c r="CW35" s="304" t="str">
        <f t="shared" si="31"/>
        <v>intermediate complexity hydrodynamics</v>
      </c>
      <c r="CX35" s="304">
        <f t="shared" si="89"/>
        <v>68</v>
      </c>
      <c r="CY35" s="304" t="str">
        <f t="shared" si="32"/>
        <v>intermediate complexity water quality</v>
      </c>
      <c r="CZ35" s="216" t="s">
        <v>402</v>
      </c>
      <c r="DA35" s="252" t="str">
        <f t="shared" si="115"/>
        <v>-</v>
      </c>
      <c r="DB35" s="251" t="str">
        <f t="shared" si="33"/>
        <v>intermediate complexity hydrodynamics; intermediate complexity water quality</v>
      </c>
      <c r="DC35" s="227"/>
      <c r="DD35" s="475" t="str">
        <f t="shared" si="73"/>
        <v>Black Hall River</v>
      </c>
      <c r="DE35" s="475">
        <f t="shared" si="74"/>
        <v>28</v>
      </c>
      <c r="DF35" s="465">
        <f t="shared" si="34"/>
        <v>14.88</v>
      </c>
      <c r="DG35" s="466">
        <f t="shared" si="35"/>
        <v>0.39</v>
      </c>
      <c r="DH35" s="465">
        <f t="shared" si="36"/>
        <v>3.24</v>
      </c>
      <c r="DI35" s="465">
        <f t="shared" si="37"/>
        <v>121.9</v>
      </c>
      <c r="DJ35" s="465">
        <f t="shared" si="38"/>
        <v>27</v>
      </c>
      <c r="DK35" s="465">
        <f t="shared" si="39"/>
        <v>0.7</v>
      </c>
      <c r="DL35" s="465">
        <f t="shared" si="40"/>
        <v>0.7</v>
      </c>
      <c r="DM35" s="465">
        <f t="shared" si="41"/>
        <v>2.2999999999999998</v>
      </c>
      <c r="DN35" s="465">
        <f t="shared" si="42"/>
        <v>19</v>
      </c>
      <c r="DO35" s="465">
        <f t="shared" si="43"/>
        <v>73779</v>
      </c>
      <c r="DP35" s="465">
        <f t="shared" si="44"/>
        <v>402067</v>
      </c>
      <c r="DQ35" s="467">
        <f t="shared" si="45"/>
        <v>1.02</v>
      </c>
      <c r="DR35" s="467">
        <f t="shared" si="46"/>
        <v>2</v>
      </c>
      <c r="DS35" s="467">
        <f t="shared" si="47"/>
        <v>26021</v>
      </c>
      <c r="DT35" s="467">
        <f t="shared" si="48"/>
        <v>2.8</v>
      </c>
      <c r="DU35" s="467">
        <f t="shared" si="49"/>
        <v>0.2</v>
      </c>
      <c r="DV35" s="467">
        <f t="shared" si="50"/>
        <v>268.81</v>
      </c>
      <c r="DW35" s="467">
        <f t="shared" si="51"/>
        <v>0</v>
      </c>
      <c r="DX35" s="467">
        <f t="shared" si="52"/>
        <v>100</v>
      </c>
      <c r="DY35" s="467">
        <f t="shared" si="53"/>
        <v>97</v>
      </c>
      <c r="DZ35" s="467">
        <f t="shared" si="54"/>
        <v>91</v>
      </c>
      <c r="EA35" s="467">
        <f t="shared" si="55"/>
        <v>5084</v>
      </c>
      <c r="EB35" s="467">
        <f t="shared" si="56"/>
        <v>129</v>
      </c>
      <c r="EC35" s="467">
        <f t="shared" si="57"/>
        <v>0</v>
      </c>
      <c r="ED35" s="467">
        <f t="shared" si="58"/>
        <v>3.236E-2</v>
      </c>
      <c r="EE35" s="467">
        <f t="shared" si="59"/>
        <v>1.73</v>
      </c>
      <c r="EF35" s="138">
        <f t="shared" si="75"/>
        <v>1.51</v>
      </c>
      <c r="EG35" s="138" t="str">
        <f t="shared" si="76"/>
        <v>marginally possible now</v>
      </c>
      <c r="EH35" s="138">
        <f t="shared" si="77"/>
        <v>3.87</v>
      </c>
      <c r="EI35" s="138">
        <f t="shared" si="78"/>
        <v>1.59</v>
      </c>
      <c r="EJ35" s="138">
        <f t="shared" si="79"/>
        <v>1.27</v>
      </c>
    </row>
    <row r="36" spans="1:140" s="295" customFormat="1" ht="44" hidden="1" customHeight="1" x14ac:dyDescent="0.35">
      <c r="A36" s="390">
        <v>29</v>
      </c>
      <c r="B36" s="249" t="s">
        <v>199</v>
      </c>
      <c r="C36" s="282">
        <v>29</v>
      </c>
      <c r="D36" s="250" t="s">
        <v>399</v>
      </c>
      <c r="E36" s="283"/>
      <c r="F36" s="284"/>
      <c r="G36" s="285"/>
      <c r="H36" s="285" t="e">
        <f t="shared" si="60"/>
        <v>#DIV/0!</v>
      </c>
      <c r="I36" s="285"/>
      <c r="J36" s="286"/>
      <c r="K36" s="284">
        <v>0.30009000900089999</v>
      </c>
      <c r="L36" s="284">
        <v>0.25</v>
      </c>
      <c r="M36" s="284"/>
      <c r="N36" s="285"/>
      <c r="O36" s="283"/>
      <c r="P36" s="285">
        <f t="shared" si="62"/>
        <v>0</v>
      </c>
      <c r="Q36" s="285"/>
      <c r="R36" s="284"/>
      <c r="S36" s="284"/>
      <c r="T36" s="285"/>
      <c r="U36" s="285"/>
      <c r="V36" s="287"/>
      <c r="W36" s="287"/>
      <c r="X36" s="285"/>
      <c r="Y36" s="284"/>
      <c r="Z36" s="287"/>
      <c r="AA36" s="287"/>
      <c r="AB36" s="289"/>
      <c r="AC36" s="289"/>
      <c r="AD36" s="289"/>
      <c r="AE36" s="289"/>
      <c r="AF36" s="283"/>
      <c r="AG36" s="283"/>
      <c r="AH36" s="284"/>
      <c r="AI36" s="284"/>
      <c r="AJ36" s="284">
        <v>0</v>
      </c>
      <c r="AK36" s="284">
        <v>0</v>
      </c>
      <c r="AL36" s="284">
        <v>0</v>
      </c>
      <c r="AM36" s="284"/>
      <c r="AN36" s="286">
        <v>0</v>
      </c>
      <c r="AO36" s="286">
        <v>0</v>
      </c>
      <c r="AP36" s="286">
        <v>0</v>
      </c>
      <c r="AQ36" s="485">
        <f t="shared" si="70"/>
        <v>1</v>
      </c>
      <c r="AR36" s="290" t="str">
        <f t="shared" si="84"/>
        <v>unlikely, too shallow</v>
      </c>
      <c r="AS36" s="283"/>
      <c r="AT36" s="285"/>
      <c r="AU36" s="285"/>
      <c r="AV36" s="285"/>
      <c r="AW36" s="285">
        <v>32487.198485539007</v>
      </c>
      <c r="AX36" s="285">
        <v>25936.553441539159</v>
      </c>
      <c r="AY36" s="285">
        <v>22423.685420426391</v>
      </c>
      <c r="AZ36" s="285">
        <v>17912.696</v>
      </c>
      <c r="BA36" s="291"/>
      <c r="BB36" s="285"/>
      <c r="BC36" s="285"/>
      <c r="BD36" s="285"/>
      <c r="BE36" s="285"/>
      <c r="BF36" s="285"/>
      <c r="BG36" s="292"/>
      <c r="BH36" s="283"/>
      <c r="BI36" s="284">
        <f t="shared" si="71"/>
        <v>0</v>
      </c>
      <c r="BJ36" s="285"/>
      <c r="BK36" s="284"/>
      <c r="BL36" s="285">
        <f t="shared" si="82"/>
        <v>0</v>
      </c>
      <c r="BM36" s="285"/>
      <c r="BN36" s="283"/>
      <c r="BO36" s="285"/>
      <c r="BP36" s="285"/>
      <c r="BQ36" s="284">
        <f t="shared" si="119"/>
        <v>0</v>
      </c>
      <c r="BR36" s="285"/>
      <c r="BS36" s="288"/>
      <c r="BT36" s="284"/>
      <c r="BU36" s="285"/>
      <c r="BV36" s="283"/>
      <c r="BW36" s="138"/>
      <c r="BX36" s="138"/>
      <c r="BY36" s="138"/>
      <c r="BZ36" s="138"/>
      <c r="CA36" s="138"/>
      <c r="CB36" s="138"/>
      <c r="CC36" s="138"/>
      <c r="CD36" s="138"/>
      <c r="CE36" s="138"/>
      <c r="CF36" s="138"/>
      <c r="CG36" s="138"/>
      <c r="CH36" s="138"/>
      <c r="CI36" s="283"/>
      <c r="CJ36" s="303" t="str">
        <f t="shared" ref="CJ36:CJ67" si="120">LOOKUP(BS36,$BX$5:$BX$7,$BY$5:$BY$7)</f>
        <v>simple complexity hydrodynamics</v>
      </c>
      <c r="CK36" s="304">
        <f t="shared" ref="CK36:CK67" si="121">LOOKUP(BS36,$BX$5:$BX$7,$BZ$5:$BZ$7)</f>
        <v>1</v>
      </c>
      <c r="CL36" s="303" t="str">
        <f t="shared" ref="CL36:CL67" si="122">LOOKUP(BT36,$CC$5:$CC$8,$CD$5:$CD$8)</f>
        <v>simple complexity water quality</v>
      </c>
      <c r="CM36" s="304">
        <f t="shared" ref="CM36:CM67" si="123">LOOKUP(BT36,$CC$5:$CC$8,$CE$5:$CE$8)</f>
        <v>1</v>
      </c>
      <c r="CN36" s="303" t="str">
        <f t="shared" ref="CN36:CN67" si="124">LOOKUP(BQ36,$BW$13:$BW$17,$BX$13:$BX$17)</f>
        <v>shallow</v>
      </c>
      <c r="CO36" s="304">
        <f t="shared" ref="CO36:CO67" si="125">LOOKUP(BQ36,$BW$13:$BW$17,$BY$13:$BY$17)</f>
        <v>1</v>
      </c>
      <c r="CP36" s="303" t="str">
        <f t="shared" ref="CP36:CP67" si="126">LOOKUP(BO36,$BZ$13:$BZ$18,$CA$13:$CA$18)</f>
        <v>tiny</v>
      </c>
      <c r="CQ36" s="304">
        <f t="shared" ref="CQ36:CQ67" si="127">LOOKUP(BO36,$BZ$13:$BZ$18,$CB$13:$CB$18)</f>
        <v>1</v>
      </c>
      <c r="CR36" s="303" t="str">
        <f t="shared" ref="CR36:CR67" si="128">LOOKUP(BP36,$CC$13:$CC$17,$CD$13:$CD$17)</f>
        <v>very low</v>
      </c>
      <c r="CS36" s="304">
        <f t="shared" ref="CS36:CS67" si="129">LOOKUP(BP36,$CC$13:$CC$17,$CE$13:$CE$17)</f>
        <v>1</v>
      </c>
      <c r="CT36" s="303" t="str">
        <f t="shared" ref="CT36:CT67" si="130">LOOKUP(BR36,$CF$13:$CF$18,$CG$13:$CG$18)</f>
        <v>none</v>
      </c>
      <c r="CU36" s="304">
        <f t="shared" ref="CU36:CU67" si="131">LOOKUP(BR36,$CF$13:$CF$18,$CH$13:$CH$18)</f>
        <v>1</v>
      </c>
      <c r="CV36" s="304">
        <f t="shared" ref="CV36:CV67" si="132">CK36*$CA$5+CM36*$CF$5+CU36*$CG$10+CQ36*$CA$10+CS36*$CD$10+CO36*$BX$10</f>
        <v>52</v>
      </c>
      <c r="CW36" s="304" t="str">
        <f t="shared" ref="CW36:CW67" si="133">LOOKUP(CV36,$BW$20:$BW$23,$BX$20:$BX$23)</f>
        <v>simple complexity hydrodynamics</v>
      </c>
      <c r="CX36" s="304">
        <f t="shared" si="89"/>
        <v>41</v>
      </c>
      <c r="CY36" s="304" t="str">
        <f t="shared" ref="CY36:CY67" si="134">LOOKUP(CX36,$CB$20:$CB$23,$CC$20:$CC$23)</f>
        <v>simple complexity water quality</v>
      </c>
      <c r="CZ36" s="293"/>
      <c r="DA36" s="250"/>
      <c r="DB36" s="249" t="str">
        <f t="shared" si="33"/>
        <v>simple complexity hydrodynamics; simple complexity water quality</v>
      </c>
      <c r="DC36" s="294"/>
      <c r="DD36" s="475" t="str">
        <f t="shared" si="73"/>
        <v>Connecticut River</v>
      </c>
      <c r="DE36" s="475">
        <f t="shared" si="74"/>
        <v>29</v>
      </c>
      <c r="DF36" s="468">
        <f t="shared" ref="DF36:DF67" si="135">ROUND(AT36/1000/1000,2)</f>
        <v>0</v>
      </c>
      <c r="DG36" s="480">
        <f t="shared" ref="DG36:DG67" si="136">ROUND(F36/1000/1000,2)</f>
        <v>0</v>
      </c>
      <c r="DH36" s="468">
        <f t="shared" ref="DH36:DH67" si="137">ROUND(G36/1000,2)</f>
        <v>0</v>
      </c>
      <c r="DI36" s="468" t="e">
        <f t="shared" ref="DI36:DI67" si="138">ROUND(H36,1)</f>
        <v>#DIV/0!</v>
      </c>
      <c r="DJ36" s="468">
        <f t="shared" ref="DJ36:DJ67" si="139">ROUND(I36,0)</f>
        <v>0</v>
      </c>
      <c r="DK36" s="468">
        <f t="shared" ref="DK36:DK67" si="140">ROUND(K36,1)</f>
        <v>0.3</v>
      </c>
      <c r="DL36" s="468">
        <f t="shared" ref="DL36:DL67" si="141">ROUND(L36,1)</f>
        <v>0.3</v>
      </c>
      <c r="DM36" s="468">
        <f t="shared" ref="DM36:DM67" si="142">ROUND(M36,1)</f>
        <v>0</v>
      </c>
      <c r="DN36" s="468">
        <f t="shared" ref="DN36:DN67" si="143">ROUND(J36*100,0)</f>
        <v>0</v>
      </c>
      <c r="DO36" s="468">
        <f t="shared" ref="DO36:DO67" si="144">ROUND(N36,0)</f>
        <v>0</v>
      </c>
      <c r="DP36" s="468">
        <f t="shared" ref="DP36:DP67" si="145">ROUND(T36,0)</f>
        <v>0</v>
      </c>
      <c r="DQ36" s="467">
        <f t="shared" ref="DQ36:DQ67" si="146">ROUND(R36,2)</f>
        <v>0</v>
      </c>
      <c r="DR36" s="468">
        <f t="shared" ref="DR36:DR67" si="147">ROUND(U36,0)</f>
        <v>0</v>
      </c>
      <c r="DS36" s="468">
        <f t="shared" ref="DS36:DS67" si="148">ROUND(Q36,0)</f>
        <v>0</v>
      </c>
      <c r="DT36" s="468">
        <f t="shared" ref="DT36:DT67" si="149">ROUND(Z36,1)</f>
        <v>0</v>
      </c>
      <c r="DU36" s="468">
        <f t="shared" ref="DU36:DU67" si="150">ROUND(Y36,1)</f>
        <v>0</v>
      </c>
      <c r="DV36" s="468">
        <f t="shared" ref="DV36:DV67" si="151">ROUND(BI36,2)</f>
        <v>0</v>
      </c>
      <c r="DW36" s="468">
        <f t="shared" ref="DW36:DW67" si="152">ROUND(BK36,2)</f>
        <v>0</v>
      </c>
      <c r="DX36" s="468">
        <f t="shared" ref="DX36:DX67" si="153">ROUND(AN36*100,0)</f>
        <v>0</v>
      </c>
      <c r="DY36" s="468">
        <f t="shared" ref="DY36:DY67" si="154">ROUND(AO36*100,0)</f>
        <v>0</v>
      </c>
      <c r="DZ36" s="468">
        <f t="shared" ref="DZ36:DZ67" si="155">ROUND(AP36*100,0)</f>
        <v>0</v>
      </c>
      <c r="EA36" s="468">
        <f t="shared" ref="EA36:EA67" si="156">ROUND(BE36,0)</f>
        <v>0</v>
      </c>
      <c r="EB36" s="468">
        <f t="shared" ref="EB36:EB67" si="157">ROUND(BF36,0)</f>
        <v>0</v>
      </c>
      <c r="EC36" s="468">
        <f t="shared" ref="EC36:EC67" si="158">ROUND(BG36,0)</f>
        <v>0</v>
      </c>
      <c r="ED36" s="468">
        <f t="shared" ref="ED36:ED67" si="159">ROUND(BS36,5)</f>
        <v>0</v>
      </c>
      <c r="EE36" s="468">
        <f t="shared" ref="EE36:EE67" si="160">ROUND(BT36,2)</f>
        <v>0</v>
      </c>
      <c r="EF36" s="295">
        <f t="shared" si="75"/>
        <v>1</v>
      </c>
      <c r="EG36" s="295" t="str">
        <f t="shared" si="76"/>
        <v>unlikely, too shallow</v>
      </c>
      <c r="EH36" s="295">
        <f t="shared" si="77"/>
        <v>0</v>
      </c>
      <c r="EI36" s="295">
        <f t="shared" si="78"/>
        <v>0</v>
      </c>
      <c r="EJ36" s="295">
        <f t="shared" si="79"/>
        <v>0</v>
      </c>
    </row>
    <row r="37" spans="1:140" ht="44" customHeight="1" x14ac:dyDescent="0.35">
      <c r="A37" s="388">
        <v>30</v>
      </c>
      <c r="B37" s="215" t="s">
        <v>430</v>
      </c>
      <c r="C37" s="210">
        <v>30</v>
      </c>
      <c r="D37" s="196" t="s">
        <v>398</v>
      </c>
      <c r="E37" s="221"/>
      <c r="F37" s="197">
        <v>1280842</v>
      </c>
      <c r="G37" s="197">
        <v>2014.838</v>
      </c>
      <c r="H37" s="241">
        <f t="shared" si="60"/>
        <v>635.70470678039624</v>
      </c>
      <c r="I37" s="241">
        <f t="shared" si="61"/>
        <v>3.1694558472036363</v>
      </c>
      <c r="J37" s="212">
        <v>0</v>
      </c>
      <c r="K37" s="213">
        <v>0.60000093688370604</v>
      </c>
      <c r="L37" s="213">
        <v>0.55000000000000004</v>
      </c>
      <c r="M37" s="213">
        <v>1.3583000183110001</v>
      </c>
      <c r="N37" s="241">
        <f t="shared" ref="N37:N58" si="161">F37*MAX(0.1,(K37-S37))</f>
        <v>128084.20000000001</v>
      </c>
      <c r="O37" s="221"/>
      <c r="P37" s="241">
        <f t="shared" si="62"/>
        <v>4841.2415690502776</v>
      </c>
      <c r="Q37" s="241">
        <f t="shared" ref="Q37:Q58" si="162">P37</f>
        <v>4841.2415690502776</v>
      </c>
      <c r="R37" s="242">
        <f t="shared" ref="R37:R58" si="163">S37*2</f>
        <v>1.1166000366219999</v>
      </c>
      <c r="S37" s="213">
        <v>0.55830001831099996</v>
      </c>
      <c r="T37" s="241">
        <f t="shared" ref="T37:T58" si="164">F37*R37</f>
        <v>1430188.2241069956</v>
      </c>
      <c r="U37" s="197">
        <v>13</v>
      </c>
      <c r="V37" s="243">
        <f t="shared" ref="V37:V58" si="165">(22.05*(G37/1000)+2.57106*(F37/1000/1000)-1.11*(G37/1000)^2) / 24</f>
        <v>1.8005906011662152</v>
      </c>
      <c r="W37" s="243">
        <f t="shared" ref="W37:W58" si="166">(68.83*(G37/1000)+7.78344*(F37/1000/1000)-3.3*(G37/1000)^2) / 24</f>
        <v>5.6355861769947841</v>
      </c>
      <c r="X37" s="241">
        <f t="shared" ref="X37:X58" si="167">T37*2</f>
        <v>2860376.4482139912</v>
      </c>
      <c r="Y37" s="242">
        <f t="shared" ref="Y37:Y58" si="168">N37/T37</f>
        <v>8.9557582590204396E-2</v>
      </c>
      <c r="Z37" s="243">
        <f t="shared" ref="Z37:Z58" si="169">N37/Q37</f>
        <v>26.456890897333743</v>
      </c>
      <c r="AA37" s="243">
        <f t="shared" ref="AA37:AA58" si="170">Q37/X37</f>
        <v>1.6925190291204961E-3</v>
      </c>
      <c r="AB37" s="245">
        <f t="shared" ref="AB37:AB58" si="171">BE37/(Q37+X37)*1000/365</f>
        <v>4.7089134161630063E-3</v>
      </c>
      <c r="AC37" s="245">
        <f t="shared" si="65"/>
        <v>9.2739743446389404</v>
      </c>
      <c r="AD37" s="245">
        <f t="shared" ref="AD37:AD58" si="172">T37/N37</f>
        <v>11.166000366219999</v>
      </c>
      <c r="AE37" s="245">
        <f t="shared" ref="AE37:AE58" si="173">(Q37/24/60/60)*44700/T37</f>
        <v>1.751287050964958E-3</v>
      </c>
      <c r="AF37" s="221"/>
      <c r="AG37" s="211">
        <v>-72.342196999999999</v>
      </c>
      <c r="AH37" s="242">
        <f t="shared" ref="AH37:AH53" si="174">(AG37^2*-0.304-43.623*AG37-1561.6)*0.4012-0.2907</f>
        <v>1.0059967861173711</v>
      </c>
      <c r="AI37" s="242">
        <f t="shared" si="66"/>
        <v>1.1928467531505555</v>
      </c>
      <c r="AJ37" s="242">
        <f t="shared" si="67"/>
        <v>3.8606553388562963</v>
      </c>
      <c r="AK37" s="242">
        <f t="shared" si="68"/>
        <v>1.5904138397285268</v>
      </c>
      <c r="AL37" s="242">
        <f t="shared" si="69"/>
        <v>1.2693396939972803</v>
      </c>
      <c r="AM37" s="213">
        <v>0.55830001831099996</v>
      </c>
      <c r="AN37" s="212">
        <v>1.0000015614728399</v>
      </c>
      <c r="AO37" s="212">
        <v>1.0000015614728399</v>
      </c>
      <c r="AP37" s="212">
        <v>1.0000015614728399</v>
      </c>
      <c r="AQ37" s="484">
        <f t="shared" si="70"/>
        <v>1.5583000183109998</v>
      </c>
      <c r="AR37" s="247" t="str">
        <f t="shared" si="84"/>
        <v>unlikely, too shallow</v>
      </c>
      <c r="AS37" s="221"/>
      <c r="AT37" s="197">
        <v>2720990</v>
      </c>
      <c r="AU37" s="197">
        <v>0</v>
      </c>
      <c r="AV37" s="197">
        <v>0</v>
      </c>
      <c r="AW37" s="197">
        <v>3181.3841824533911</v>
      </c>
      <c r="AX37" s="197">
        <v>430.4986608296972</v>
      </c>
      <c r="AY37" s="197">
        <v>288.04619388804423</v>
      </c>
      <c r="AZ37" s="197">
        <v>1024.6736000000001</v>
      </c>
      <c r="BA37" s="214"/>
      <c r="BB37" s="197">
        <v>4924.6026371711323</v>
      </c>
      <c r="BC37" s="241">
        <f t="shared" ref="BC37:BC58" si="175">BB37-AU37+AV37</f>
        <v>4924.6026371711323</v>
      </c>
      <c r="BD37" s="241">
        <f t="shared" ref="BD37:BD58" si="176">BC37/F37*10000</f>
        <v>38.448166418427348</v>
      </c>
      <c r="BE37" s="241">
        <f t="shared" ref="BE37:BE58" si="177">BC37</f>
        <v>4924.6026371711323</v>
      </c>
      <c r="BF37" s="241">
        <f t="shared" si="86"/>
        <v>38.448166418427348</v>
      </c>
      <c r="BG37" s="248">
        <f t="shared" ref="BG37:BG58" si="178">AV37/BE37*100</f>
        <v>0</v>
      </c>
      <c r="BH37" s="221"/>
      <c r="BI37" s="213">
        <f t="shared" si="71"/>
        <v>175.18404999999998</v>
      </c>
      <c r="BJ37" s="197">
        <v>700736.2</v>
      </c>
      <c r="BK37" s="213">
        <v>0</v>
      </c>
      <c r="BL37" s="197">
        <f t="shared" si="82"/>
        <v>0</v>
      </c>
      <c r="BM37" s="197" t="s">
        <v>549</v>
      </c>
      <c r="BN37" s="221"/>
      <c r="BO37" s="241">
        <f t="shared" ref="BO37:BO58" si="179">F37/10000</f>
        <v>128.08420000000001</v>
      </c>
      <c r="BP37" s="241">
        <f t="shared" ref="BP37:BP58" si="180">I37</f>
        <v>3.1694558472036363</v>
      </c>
      <c r="BQ37" s="242">
        <f t="shared" si="119"/>
        <v>1.3583000183110001</v>
      </c>
      <c r="BR37" s="241">
        <f t="shared" ref="BR37:BR58" si="181">IF(U37&gt;6,U37-10,U37)</f>
        <v>3</v>
      </c>
      <c r="BS37" s="244">
        <f t="shared" ref="BS37:BS58" si="182">AA37</f>
        <v>1.6925190291204961E-3</v>
      </c>
      <c r="BT37" s="242">
        <f t="shared" ref="BT37:BT58" si="183">AC37</f>
        <v>9.2739743446389404</v>
      </c>
      <c r="BU37" s="241">
        <f t="shared" ref="BU37:BU58" si="184">BG37</f>
        <v>0</v>
      </c>
      <c r="BV37" s="221"/>
      <c r="CI37" s="221"/>
      <c r="CJ37" s="303" t="str">
        <f t="shared" si="120"/>
        <v>simple complexity hydrodynamics</v>
      </c>
      <c r="CK37" s="304">
        <f t="shared" si="121"/>
        <v>1</v>
      </c>
      <c r="CL37" s="303" t="str">
        <f t="shared" si="122"/>
        <v>complex water quality</v>
      </c>
      <c r="CM37" s="304">
        <f t="shared" si="123"/>
        <v>4</v>
      </c>
      <c r="CN37" s="303" t="str">
        <f t="shared" si="124"/>
        <v>shallow</v>
      </c>
      <c r="CO37" s="304">
        <f t="shared" si="125"/>
        <v>1</v>
      </c>
      <c r="CP37" s="303" t="str">
        <f t="shared" si="126"/>
        <v>mid-size</v>
      </c>
      <c r="CQ37" s="304">
        <f t="shared" si="127"/>
        <v>4</v>
      </c>
      <c r="CR37" s="303" t="str">
        <f t="shared" si="128"/>
        <v>very low</v>
      </c>
      <c r="CS37" s="304">
        <f t="shared" si="129"/>
        <v>1</v>
      </c>
      <c r="CT37" s="303" t="str">
        <f t="shared" si="130"/>
        <v>mouth</v>
      </c>
      <c r="CU37" s="304">
        <f t="shared" si="131"/>
        <v>4</v>
      </c>
      <c r="CV37" s="304">
        <f t="shared" si="132"/>
        <v>115</v>
      </c>
      <c r="CW37" s="304" t="str">
        <f t="shared" si="133"/>
        <v>intermediate complexity hydrodynamics</v>
      </c>
      <c r="CX37" s="304">
        <f t="shared" si="89"/>
        <v>101</v>
      </c>
      <c r="CY37" s="304" t="str">
        <f t="shared" si="134"/>
        <v>intermediate complexity water quality</v>
      </c>
      <c r="CZ37" s="216" t="s">
        <v>631</v>
      </c>
      <c r="DA37" s="252" t="str">
        <f t="shared" ref="DA37:DA58" si="185">IF(BU37&gt;0,"WASP","-")</f>
        <v>-</v>
      </c>
      <c r="DB37" s="251" t="str">
        <f t="shared" ref="DB37:DB68" si="186">CONCATENATE(  CW37,  "; ", CY37,IF(DA37="WASP"," (WASP)",""))</f>
        <v>intermediate complexity hydrodynamics; intermediate complexity water quality</v>
      </c>
      <c r="DC37" s="227"/>
      <c r="DD37" s="475" t="str">
        <f t="shared" si="73"/>
        <v>South Cove</v>
      </c>
      <c r="DE37" s="475">
        <f t="shared" si="74"/>
        <v>30</v>
      </c>
      <c r="DF37" s="465">
        <f t="shared" si="135"/>
        <v>2.72</v>
      </c>
      <c r="DG37" s="466">
        <f t="shared" si="136"/>
        <v>1.28</v>
      </c>
      <c r="DH37" s="465">
        <f t="shared" si="137"/>
        <v>2.0099999999999998</v>
      </c>
      <c r="DI37" s="465">
        <f t="shared" si="138"/>
        <v>635.70000000000005</v>
      </c>
      <c r="DJ37" s="465">
        <f t="shared" si="139"/>
        <v>3</v>
      </c>
      <c r="DK37" s="465">
        <f t="shared" si="140"/>
        <v>0.6</v>
      </c>
      <c r="DL37" s="465">
        <f t="shared" si="141"/>
        <v>0.6</v>
      </c>
      <c r="DM37" s="465">
        <f t="shared" si="142"/>
        <v>1.4</v>
      </c>
      <c r="DN37" s="465">
        <f t="shared" si="143"/>
        <v>0</v>
      </c>
      <c r="DO37" s="465">
        <f t="shared" si="144"/>
        <v>128084</v>
      </c>
      <c r="DP37" s="465">
        <f t="shared" si="145"/>
        <v>1430188</v>
      </c>
      <c r="DQ37" s="467">
        <f t="shared" si="146"/>
        <v>1.1200000000000001</v>
      </c>
      <c r="DR37" s="467">
        <f t="shared" si="147"/>
        <v>13</v>
      </c>
      <c r="DS37" s="467">
        <f t="shared" si="148"/>
        <v>4841</v>
      </c>
      <c r="DT37" s="467">
        <f t="shared" si="149"/>
        <v>26.5</v>
      </c>
      <c r="DU37" s="467">
        <f t="shared" si="150"/>
        <v>0.1</v>
      </c>
      <c r="DV37" s="467">
        <f t="shared" si="151"/>
        <v>175.18</v>
      </c>
      <c r="DW37" s="467">
        <f t="shared" si="152"/>
        <v>0</v>
      </c>
      <c r="DX37" s="467">
        <f t="shared" si="153"/>
        <v>100</v>
      </c>
      <c r="DY37" s="467">
        <f t="shared" si="154"/>
        <v>100</v>
      </c>
      <c r="DZ37" s="467">
        <f t="shared" si="155"/>
        <v>100</v>
      </c>
      <c r="EA37" s="467">
        <f t="shared" si="156"/>
        <v>4925</v>
      </c>
      <c r="EB37" s="467">
        <f t="shared" si="157"/>
        <v>38</v>
      </c>
      <c r="EC37" s="467">
        <f t="shared" si="158"/>
        <v>0</v>
      </c>
      <c r="ED37" s="467">
        <f t="shared" si="159"/>
        <v>1.6900000000000001E-3</v>
      </c>
      <c r="EE37" s="467">
        <f t="shared" si="160"/>
        <v>9.27</v>
      </c>
      <c r="EF37" s="138">
        <f t="shared" si="75"/>
        <v>1.56</v>
      </c>
      <c r="EG37" s="138" t="str">
        <f t="shared" si="76"/>
        <v>unlikely, too shallow</v>
      </c>
      <c r="EH37" s="138">
        <f t="shared" si="77"/>
        <v>3.86</v>
      </c>
      <c r="EI37" s="138">
        <f t="shared" si="78"/>
        <v>1.59</v>
      </c>
      <c r="EJ37" s="138">
        <f t="shared" si="79"/>
        <v>1.27</v>
      </c>
    </row>
    <row r="38" spans="1:140" ht="44" customHeight="1" x14ac:dyDescent="0.35">
      <c r="A38" s="388">
        <v>31</v>
      </c>
      <c r="B38" s="215" t="s">
        <v>431</v>
      </c>
      <c r="C38" s="210">
        <v>31</v>
      </c>
      <c r="D38" s="196" t="s">
        <v>400</v>
      </c>
      <c r="E38" s="221"/>
      <c r="F38" s="197">
        <v>143784</v>
      </c>
      <c r="G38" s="197">
        <v>2741.8180000000002</v>
      </c>
      <c r="H38" s="241">
        <f t="shared" si="60"/>
        <v>52.441117535883123</v>
      </c>
      <c r="I38" s="241">
        <f t="shared" si="61"/>
        <v>52.283744680381687</v>
      </c>
      <c r="J38" s="212">
        <v>0</v>
      </c>
      <c r="K38" s="213">
        <v>0.6</v>
      </c>
      <c r="L38" s="213">
        <v>0.55000000000000004</v>
      </c>
      <c r="M38" s="213">
        <v>1.382499980927</v>
      </c>
      <c r="N38" s="241">
        <f t="shared" si="161"/>
        <v>14378.400000000001</v>
      </c>
      <c r="O38" s="221"/>
      <c r="P38" s="241">
        <f t="shared" si="62"/>
        <v>5644.6767282391565</v>
      </c>
      <c r="Q38" s="241">
        <f t="shared" si="162"/>
        <v>5644.6767282391565</v>
      </c>
      <c r="R38" s="242">
        <f t="shared" si="163"/>
        <v>1.1649999618539999</v>
      </c>
      <c r="S38" s="213">
        <v>0.58249998092699995</v>
      </c>
      <c r="T38" s="241">
        <f t="shared" si="164"/>
        <v>167508.35451521553</v>
      </c>
      <c r="U38" s="197">
        <v>0</v>
      </c>
      <c r="V38" s="243">
        <f t="shared" si="165"/>
        <v>2.1867610829980149</v>
      </c>
      <c r="W38" s="243">
        <f t="shared" si="166"/>
        <v>6.8762708107521178</v>
      </c>
      <c r="X38" s="241">
        <f t="shared" si="167"/>
        <v>335016.70903043105</v>
      </c>
      <c r="Y38" s="242">
        <f t="shared" si="168"/>
        <v>8.5836912681832522E-2</v>
      </c>
      <c r="Z38" s="243">
        <f t="shared" si="169"/>
        <v>2.5472495046647796</v>
      </c>
      <c r="AA38" s="243">
        <f t="shared" si="170"/>
        <v>1.6848940891859891E-2</v>
      </c>
      <c r="AB38" s="245">
        <f t="shared" si="171"/>
        <v>2.9488566753666869E-2</v>
      </c>
      <c r="AC38" s="245">
        <f t="shared" si="65"/>
        <v>5.8339110537037708</v>
      </c>
      <c r="AD38" s="245">
        <f t="shared" si="172"/>
        <v>11.649999618539999</v>
      </c>
      <c r="AE38" s="245">
        <f t="shared" si="173"/>
        <v>1.7433973561716134E-2</v>
      </c>
      <c r="AF38" s="221"/>
      <c r="AG38" s="211">
        <v>-72.397792999999993</v>
      </c>
      <c r="AH38" s="242">
        <f t="shared" si="174"/>
        <v>0.99756641258388923</v>
      </c>
      <c r="AI38" s="242">
        <f t="shared" si="66"/>
        <v>1.2029274290538399</v>
      </c>
      <c r="AJ38" s="242">
        <f t="shared" si="67"/>
        <v>3.8283025848120182</v>
      </c>
      <c r="AK38" s="242">
        <f t="shared" si="68"/>
        <v>1.5770859813031757</v>
      </c>
      <c r="AL38" s="242">
        <f t="shared" si="69"/>
        <v>1.2587024753610527</v>
      </c>
      <c r="AM38" s="213">
        <v>0.58249998092699995</v>
      </c>
      <c r="AN38" s="212">
        <v>1</v>
      </c>
      <c r="AO38" s="212">
        <v>1</v>
      </c>
      <c r="AP38" s="212">
        <v>1</v>
      </c>
      <c r="AQ38" s="484">
        <f t="shared" si="70"/>
        <v>1.5824999809269999</v>
      </c>
      <c r="AR38" s="247" t="str">
        <f t="shared" si="84"/>
        <v>unlikely, too shallow</v>
      </c>
      <c r="AS38" s="221"/>
      <c r="AT38" s="197">
        <v>3177480</v>
      </c>
      <c r="AU38" s="197">
        <v>0</v>
      </c>
      <c r="AV38" s="197">
        <v>0</v>
      </c>
      <c r="AW38" s="197">
        <v>2785.6573394817669</v>
      </c>
      <c r="AX38" s="197">
        <v>451.52368999258653</v>
      </c>
      <c r="AY38" s="197">
        <v>314.44161576018695</v>
      </c>
      <c r="AZ38" s="197">
        <v>115.02720000000001</v>
      </c>
      <c r="BA38" s="214"/>
      <c r="BB38" s="197">
        <v>3666.6498452345404</v>
      </c>
      <c r="BC38" s="241">
        <f t="shared" si="175"/>
        <v>3666.6498452345404</v>
      </c>
      <c r="BD38" s="241">
        <f t="shared" si="176"/>
        <v>255.01097794153316</v>
      </c>
      <c r="BE38" s="241">
        <f t="shared" si="177"/>
        <v>3666.6498452345404</v>
      </c>
      <c r="BF38" s="241">
        <f t="shared" si="86"/>
        <v>255.01097794153316</v>
      </c>
      <c r="BG38" s="248">
        <f t="shared" si="178"/>
        <v>0</v>
      </c>
      <c r="BH38" s="221"/>
      <c r="BI38" s="213">
        <f t="shared" si="71"/>
        <v>365.92225000000002</v>
      </c>
      <c r="BJ38" s="197">
        <v>1463689</v>
      </c>
      <c r="BK38" s="213">
        <v>0</v>
      </c>
      <c r="BL38" s="197">
        <f t="shared" si="82"/>
        <v>0</v>
      </c>
      <c r="BM38" s="197" t="s">
        <v>549</v>
      </c>
      <c r="BN38" s="221"/>
      <c r="BO38" s="241">
        <f t="shared" si="179"/>
        <v>14.378399999999999</v>
      </c>
      <c r="BP38" s="241">
        <f t="shared" si="180"/>
        <v>52.283744680381687</v>
      </c>
      <c r="BQ38" s="242">
        <f t="shared" si="119"/>
        <v>1.382499980927</v>
      </c>
      <c r="BR38" s="241">
        <f t="shared" si="181"/>
        <v>0</v>
      </c>
      <c r="BS38" s="244">
        <f t="shared" si="182"/>
        <v>1.6848940891859891E-2</v>
      </c>
      <c r="BT38" s="242">
        <f t="shared" si="183"/>
        <v>5.8339110537037708</v>
      </c>
      <c r="BU38" s="241">
        <f t="shared" si="184"/>
        <v>0</v>
      </c>
      <c r="BV38" s="221"/>
      <c r="CI38" s="221"/>
      <c r="CJ38" s="303" t="str">
        <f t="shared" si="120"/>
        <v>intermediate complexity hydrodynamics</v>
      </c>
      <c r="CK38" s="304">
        <f t="shared" si="121"/>
        <v>2</v>
      </c>
      <c r="CL38" s="303" t="str">
        <f t="shared" si="122"/>
        <v>complex water quality</v>
      </c>
      <c r="CM38" s="304">
        <f t="shared" si="123"/>
        <v>4</v>
      </c>
      <c r="CN38" s="303" t="str">
        <f t="shared" si="124"/>
        <v>shallow</v>
      </c>
      <c r="CO38" s="304">
        <f t="shared" si="125"/>
        <v>1</v>
      </c>
      <c r="CP38" s="303" t="str">
        <f t="shared" si="126"/>
        <v>very small</v>
      </c>
      <c r="CQ38" s="304">
        <f t="shared" si="127"/>
        <v>2</v>
      </c>
      <c r="CR38" s="303" t="str">
        <f t="shared" si="128"/>
        <v>high</v>
      </c>
      <c r="CS38" s="304">
        <f t="shared" si="129"/>
        <v>4</v>
      </c>
      <c r="CT38" s="303" t="str">
        <f t="shared" si="130"/>
        <v>none</v>
      </c>
      <c r="CU38" s="304">
        <f t="shared" si="131"/>
        <v>1</v>
      </c>
      <c r="CV38" s="304">
        <f t="shared" si="132"/>
        <v>115</v>
      </c>
      <c r="CW38" s="304" t="str">
        <f t="shared" si="133"/>
        <v>intermediate complexity hydrodynamics</v>
      </c>
      <c r="CX38" s="304">
        <f t="shared" si="89"/>
        <v>93</v>
      </c>
      <c r="CY38" s="304" t="str">
        <f t="shared" si="134"/>
        <v>intermediate complexity water quality</v>
      </c>
      <c r="CZ38" s="216" t="s">
        <v>641</v>
      </c>
      <c r="DA38" s="252" t="str">
        <f t="shared" si="185"/>
        <v>-</v>
      </c>
      <c r="DB38" s="251" t="str">
        <f t="shared" si="186"/>
        <v>intermediate complexity hydrodynamics; intermediate complexity water quality</v>
      </c>
      <c r="DC38" s="227"/>
      <c r="DD38" s="475" t="str">
        <f t="shared" si="73"/>
        <v>Indiantown Harbor</v>
      </c>
      <c r="DE38" s="475">
        <f t="shared" si="74"/>
        <v>31</v>
      </c>
      <c r="DF38" s="465">
        <f t="shared" si="135"/>
        <v>3.18</v>
      </c>
      <c r="DG38" s="466">
        <f t="shared" si="136"/>
        <v>0.14000000000000001</v>
      </c>
      <c r="DH38" s="465">
        <f t="shared" si="137"/>
        <v>2.74</v>
      </c>
      <c r="DI38" s="465">
        <f t="shared" si="138"/>
        <v>52.4</v>
      </c>
      <c r="DJ38" s="465">
        <f t="shared" si="139"/>
        <v>52</v>
      </c>
      <c r="DK38" s="465">
        <f t="shared" si="140"/>
        <v>0.6</v>
      </c>
      <c r="DL38" s="465">
        <f t="shared" si="141"/>
        <v>0.6</v>
      </c>
      <c r="DM38" s="465">
        <f t="shared" si="142"/>
        <v>1.4</v>
      </c>
      <c r="DN38" s="465">
        <f t="shared" si="143"/>
        <v>0</v>
      </c>
      <c r="DO38" s="465">
        <f t="shared" si="144"/>
        <v>14378</v>
      </c>
      <c r="DP38" s="465">
        <f t="shared" si="145"/>
        <v>167508</v>
      </c>
      <c r="DQ38" s="467">
        <f t="shared" si="146"/>
        <v>1.1599999999999999</v>
      </c>
      <c r="DR38" s="467">
        <f t="shared" si="147"/>
        <v>0</v>
      </c>
      <c r="DS38" s="467">
        <f t="shared" si="148"/>
        <v>5645</v>
      </c>
      <c r="DT38" s="467">
        <f t="shared" si="149"/>
        <v>2.5</v>
      </c>
      <c r="DU38" s="467">
        <f t="shared" si="150"/>
        <v>0.1</v>
      </c>
      <c r="DV38" s="467">
        <f t="shared" si="151"/>
        <v>365.92</v>
      </c>
      <c r="DW38" s="467">
        <f t="shared" si="152"/>
        <v>0</v>
      </c>
      <c r="DX38" s="467">
        <f t="shared" si="153"/>
        <v>100</v>
      </c>
      <c r="DY38" s="467">
        <f t="shared" si="154"/>
        <v>100</v>
      </c>
      <c r="DZ38" s="467">
        <f t="shared" si="155"/>
        <v>100</v>
      </c>
      <c r="EA38" s="467">
        <f t="shared" si="156"/>
        <v>3667</v>
      </c>
      <c r="EB38" s="467">
        <f t="shared" si="157"/>
        <v>255</v>
      </c>
      <c r="EC38" s="467">
        <f t="shared" si="158"/>
        <v>0</v>
      </c>
      <c r="ED38" s="467">
        <f t="shared" si="159"/>
        <v>1.685E-2</v>
      </c>
      <c r="EE38" s="467">
        <f t="shared" si="160"/>
        <v>5.83</v>
      </c>
      <c r="EF38" s="138">
        <f t="shared" si="75"/>
        <v>1.58</v>
      </c>
      <c r="EG38" s="138" t="str">
        <f t="shared" si="76"/>
        <v>unlikely, too shallow</v>
      </c>
      <c r="EH38" s="138">
        <f t="shared" si="77"/>
        <v>3.83</v>
      </c>
      <c r="EI38" s="138">
        <f t="shared" si="78"/>
        <v>1.58</v>
      </c>
      <c r="EJ38" s="138">
        <f t="shared" si="79"/>
        <v>1.26</v>
      </c>
    </row>
    <row r="39" spans="1:140" ht="44" customHeight="1" x14ac:dyDescent="0.35">
      <c r="A39" s="388">
        <v>32</v>
      </c>
      <c r="B39" s="215" t="s">
        <v>432</v>
      </c>
      <c r="C39" s="210">
        <v>32</v>
      </c>
      <c r="D39" s="196" t="s">
        <v>400</v>
      </c>
      <c r="E39" s="221"/>
      <c r="F39" s="197">
        <v>106856</v>
      </c>
      <c r="G39" s="197">
        <v>3097.3919999999998</v>
      </c>
      <c r="H39" s="241">
        <f t="shared" si="60"/>
        <v>34.498700842515255</v>
      </c>
      <c r="I39" s="241">
        <f t="shared" si="61"/>
        <v>89.782859190536783</v>
      </c>
      <c r="J39" s="212">
        <v>0</v>
      </c>
      <c r="K39" s="213">
        <v>0.54998970577225403</v>
      </c>
      <c r="L39" s="213">
        <v>0.45</v>
      </c>
      <c r="M39" s="213">
        <v>1.3486999750140001</v>
      </c>
      <c r="N39" s="241">
        <f t="shared" si="161"/>
        <v>10685.6</v>
      </c>
      <c r="O39" s="221"/>
      <c r="P39" s="241">
        <f t="shared" si="62"/>
        <v>29385.117154690837</v>
      </c>
      <c r="Q39" s="241">
        <f t="shared" si="162"/>
        <v>29385.117154690837</v>
      </c>
      <c r="R39" s="242">
        <f t="shared" si="163"/>
        <v>1.0973999500280001</v>
      </c>
      <c r="S39" s="213">
        <v>0.54869997501400003</v>
      </c>
      <c r="T39" s="241">
        <f t="shared" si="164"/>
        <v>117263.76906019197</v>
      </c>
      <c r="U39" s="197">
        <v>0</v>
      </c>
      <c r="V39" s="243">
        <f t="shared" si="165"/>
        <v>2.4134611455630401</v>
      </c>
      <c r="W39" s="243">
        <f t="shared" si="166"/>
        <v>7.5985639941311982</v>
      </c>
      <c r="X39" s="241">
        <f t="shared" si="167"/>
        <v>234527.53812038395</v>
      </c>
      <c r="Y39" s="242">
        <f t="shared" si="168"/>
        <v>9.1124480183773032E-2</v>
      </c>
      <c r="Z39" s="243">
        <f t="shared" si="169"/>
        <v>0.36363986380412389</v>
      </c>
      <c r="AA39" s="243">
        <f t="shared" si="170"/>
        <v>0.12529495423094977</v>
      </c>
      <c r="AB39" s="245">
        <f t="shared" si="171"/>
        <v>6.2503571218697082E-2</v>
      </c>
      <c r="AC39" s="245">
        <f t="shared" si="65"/>
        <v>1.6628382098422323</v>
      </c>
      <c r="AD39" s="245">
        <f t="shared" si="172"/>
        <v>10.97399950028</v>
      </c>
      <c r="AE39" s="245">
        <f t="shared" si="173"/>
        <v>0.12964547347507996</v>
      </c>
      <c r="AF39" s="221"/>
      <c r="AG39" s="211">
        <v>-72.397792999999993</v>
      </c>
      <c r="AH39" s="242">
        <f t="shared" si="174"/>
        <v>0.99756641258388923</v>
      </c>
      <c r="AI39" s="242">
        <f t="shared" si="66"/>
        <v>1.2029274290538399</v>
      </c>
      <c r="AJ39" s="242">
        <f t="shared" si="67"/>
        <v>3.8283025848120182</v>
      </c>
      <c r="AK39" s="242">
        <f t="shared" si="68"/>
        <v>1.5770859813031757</v>
      </c>
      <c r="AL39" s="242">
        <f t="shared" si="69"/>
        <v>1.2587024753610527</v>
      </c>
      <c r="AM39" s="213">
        <v>0.54869997501400003</v>
      </c>
      <c r="AN39" s="212">
        <v>0.99998128322227997</v>
      </c>
      <c r="AO39" s="212">
        <v>0.99998128322227997</v>
      </c>
      <c r="AP39" s="212">
        <v>0.99998128322227997</v>
      </c>
      <c r="AQ39" s="484">
        <f t="shared" si="70"/>
        <v>1.548699975014</v>
      </c>
      <c r="AR39" s="247" t="str">
        <f t="shared" si="84"/>
        <v>unlikely, too shallow</v>
      </c>
      <c r="AS39" s="221"/>
      <c r="AT39" s="197">
        <v>16819320</v>
      </c>
      <c r="AU39" s="197">
        <v>0</v>
      </c>
      <c r="AV39" s="197">
        <v>0</v>
      </c>
      <c r="AW39" s="197">
        <v>3798.9503678203851</v>
      </c>
      <c r="AX39" s="197">
        <v>872.4999900589894</v>
      </c>
      <c r="AY39" s="197">
        <v>1263.9162993635232</v>
      </c>
      <c r="AZ39" s="197">
        <v>85.484800000000007</v>
      </c>
      <c r="BA39" s="214"/>
      <c r="BB39" s="197">
        <v>6020.8514572428976</v>
      </c>
      <c r="BC39" s="241">
        <f t="shared" si="175"/>
        <v>6020.8514572428976</v>
      </c>
      <c r="BD39" s="241">
        <f t="shared" si="176"/>
        <v>563.45469203815389</v>
      </c>
      <c r="BE39" s="241">
        <f t="shared" si="177"/>
        <v>6020.8514572428976</v>
      </c>
      <c r="BF39" s="241">
        <f t="shared" si="86"/>
        <v>563.45469203815389</v>
      </c>
      <c r="BG39" s="248">
        <f t="shared" si="178"/>
        <v>0</v>
      </c>
      <c r="BH39" s="221"/>
      <c r="BI39" s="213">
        <f t="shared" si="71"/>
        <v>121.159125</v>
      </c>
      <c r="BJ39" s="197">
        <v>484636.5</v>
      </c>
      <c r="BK39" s="213">
        <v>0</v>
      </c>
      <c r="BL39" s="197">
        <f t="shared" si="82"/>
        <v>0</v>
      </c>
      <c r="BM39" s="197" t="s">
        <v>549</v>
      </c>
      <c r="BN39" s="221"/>
      <c r="BO39" s="241">
        <f t="shared" si="179"/>
        <v>10.685600000000001</v>
      </c>
      <c r="BP39" s="241">
        <f t="shared" si="180"/>
        <v>89.782859190536783</v>
      </c>
      <c r="BQ39" s="242">
        <f t="shared" si="119"/>
        <v>1.3486999750140001</v>
      </c>
      <c r="BR39" s="241">
        <f t="shared" si="181"/>
        <v>0</v>
      </c>
      <c r="BS39" s="244">
        <f t="shared" si="182"/>
        <v>0.12529495423094977</v>
      </c>
      <c r="BT39" s="242">
        <f t="shared" si="183"/>
        <v>1.6628382098422323</v>
      </c>
      <c r="BU39" s="241">
        <f t="shared" si="184"/>
        <v>0</v>
      </c>
      <c r="BV39" s="221"/>
      <c r="CI39" s="221"/>
      <c r="CJ39" s="303" t="str">
        <f t="shared" si="120"/>
        <v>complex hydrodynamics</v>
      </c>
      <c r="CK39" s="304">
        <f t="shared" si="121"/>
        <v>3</v>
      </c>
      <c r="CL39" s="303" t="str">
        <f t="shared" si="122"/>
        <v>intermediate complexity water quality</v>
      </c>
      <c r="CM39" s="304">
        <f t="shared" si="123"/>
        <v>2</v>
      </c>
      <c r="CN39" s="303" t="str">
        <f t="shared" si="124"/>
        <v>shallow</v>
      </c>
      <c r="CO39" s="304">
        <f t="shared" si="125"/>
        <v>1</v>
      </c>
      <c r="CP39" s="303" t="str">
        <f t="shared" si="126"/>
        <v>very small</v>
      </c>
      <c r="CQ39" s="304">
        <f t="shared" si="127"/>
        <v>2</v>
      </c>
      <c r="CR39" s="303" t="str">
        <f t="shared" si="128"/>
        <v>very high</v>
      </c>
      <c r="CS39" s="304">
        <f t="shared" si="129"/>
        <v>5</v>
      </c>
      <c r="CT39" s="303" t="str">
        <f t="shared" si="130"/>
        <v>none</v>
      </c>
      <c r="CU39" s="304">
        <f t="shared" si="131"/>
        <v>1</v>
      </c>
      <c r="CV39" s="304">
        <f t="shared" si="132"/>
        <v>116</v>
      </c>
      <c r="CW39" s="304" t="str">
        <f t="shared" si="133"/>
        <v>intermediate complexity hydrodynamics</v>
      </c>
      <c r="CX39" s="304">
        <f t="shared" si="89"/>
        <v>64</v>
      </c>
      <c r="CY39" s="304" t="str">
        <f t="shared" si="134"/>
        <v>intermediate complexity water quality</v>
      </c>
      <c r="CZ39" s="216" t="s">
        <v>621</v>
      </c>
      <c r="DA39" s="252" t="str">
        <f t="shared" si="185"/>
        <v>-</v>
      </c>
      <c r="DB39" s="251" t="str">
        <f t="shared" si="186"/>
        <v>intermediate complexity hydrodynamics; intermediate complexity water quality</v>
      </c>
      <c r="DC39" s="227"/>
      <c r="DD39" s="475" t="str">
        <f t="shared" si="73"/>
        <v>Oyster River, Old Saybrook</v>
      </c>
      <c r="DE39" s="475">
        <f t="shared" si="74"/>
        <v>32</v>
      </c>
      <c r="DF39" s="465">
        <f t="shared" si="135"/>
        <v>16.82</v>
      </c>
      <c r="DG39" s="466">
        <f t="shared" si="136"/>
        <v>0.11</v>
      </c>
      <c r="DH39" s="465">
        <f t="shared" si="137"/>
        <v>3.1</v>
      </c>
      <c r="DI39" s="465">
        <f t="shared" si="138"/>
        <v>34.5</v>
      </c>
      <c r="DJ39" s="465">
        <f t="shared" si="139"/>
        <v>90</v>
      </c>
      <c r="DK39" s="465">
        <f t="shared" si="140"/>
        <v>0.5</v>
      </c>
      <c r="DL39" s="465">
        <f t="shared" si="141"/>
        <v>0.5</v>
      </c>
      <c r="DM39" s="465">
        <f t="shared" si="142"/>
        <v>1.3</v>
      </c>
      <c r="DN39" s="465">
        <f t="shared" si="143"/>
        <v>0</v>
      </c>
      <c r="DO39" s="465">
        <f t="shared" si="144"/>
        <v>10686</v>
      </c>
      <c r="DP39" s="465">
        <f t="shared" si="145"/>
        <v>117264</v>
      </c>
      <c r="DQ39" s="467">
        <f t="shared" si="146"/>
        <v>1.1000000000000001</v>
      </c>
      <c r="DR39" s="467">
        <f t="shared" si="147"/>
        <v>0</v>
      </c>
      <c r="DS39" s="467">
        <f t="shared" si="148"/>
        <v>29385</v>
      </c>
      <c r="DT39" s="467">
        <f t="shared" si="149"/>
        <v>0.4</v>
      </c>
      <c r="DU39" s="467">
        <f t="shared" si="150"/>
        <v>0.1</v>
      </c>
      <c r="DV39" s="467">
        <f t="shared" si="151"/>
        <v>121.16</v>
      </c>
      <c r="DW39" s="467">
        <f t="shared" si="152"/>
        <v>0</v>
      </c>
      <c r="DX39" s="467">
        <f t="shared" si="153"/>
        <v>100</v>
      </c>
      <c r="DY39" s="467">
        <f t="shared" si="154"/>
        <v>100</v>
      </c>
      <c r="DZ39" s="467">
        <f t="shared" si="155"/>
        <v>100</v>
      </c>
      <c r="EA39" s="467">
        <f t="shared" si="156"/>
        <v>6021</v>
      </c>
      <c r="EB39" s="467">
        <f t="shared" si="157"/>
        <v>563</v>
      </c>
      <c r="EC39" s="467">
        <f t="shared" si="158"/>
        <v>0</v>
      </c>
      <c r="ED39" s="467">
        <f t="shared" si="159"/>
        <v>0.12529000000000001</v>
      </c>
      <c r="EE39" s="467">
        <f t="shared" si="160"/>
        <v>1.66</v>
      </c>
      <c r="EF39" s="138">
        <f t="shared" si="75"/>
        <v>1.55</v>
      </c>
      <c r="EG39" s="138" t="str">
        <f t="shared" si="76"/>
        <v>unlikely, too shallow</v>
      </c>
      <c r="EH39" s="138">
        <f t="shared" si="77"/>
        <v>3.83</v>
      </c>
      <c r="EI39" s="138">
        <f t="shared" si="78"/>
        <v>1.58</v>
      </c>
      <c r="EJ39" s="138">
        <f t="shared" si="79"/>
        <v>1.26</v>
      </c>
    </row>
    <row r="40" spans="1:140" ht="44" customHeight="1" x14ac:dyDescent="0.35">
      <c r="A40" s="388">
        <v>33</v>
      </c>
      <c r="B40" s="215" t="s">
        <v>433</v>
      </c>
      <c r="C40" s="210">
        <v>33</v>
      </c>
      <c r="D40" s="196"/>
      <c r="E40" s="221"/>
      <c r="F40" s="197">
        <v>18884</v>
      </c>
      <c r="G40" s="197">
        <v>515.21169999999995</v>
      </c>
      <c r="H40" s="241">
        <f t="shared" si="60"/>
        <v>36.652894334503664</v>
      </c>
      <c r="I40" s="241">
        <f t="shared" si="61"/>
        <v>14.056507933535796</v>
      </c>
      <c r="J40" s="212">
        <v>0</v>
      </c>
      <c r="K40" s="213">
        <v>0.60012709171785705</v>
      </c>
      <c r="L40" s="213">
        <v>0.55000000000000004</v>
      </c>
      <c r="M40" s="213">
        <v>1.4485999822619999</v>
      </c>
      <c r="N40" s="241">
        <f t="shared" si="161"/>
        <v>1888.4</v>
      </c>
      <c r="O40" s="221"/>
      <c r="P40" s="241">
        <f t="shared" si="62"/>
        <v>2426.6076878835111</v>
      </c>
      <c r="Q40" s="241">
        <f t="shared" si="162"/>
        <v>2426.6076878835111</v>
      </c>
      <c r="R40" s="242">
        <f t="shared" si="163"/>
        <v>1.297199964524</v>
      </c>
      <c r="S40" s="213">
        <v>0.648599982262</v>
      </c>
      <c r="T40" s="241">
        <f t="shared" si="164"/>
        <v>24496.324130071214</v>
      </c>
      <c r="U40" s="197">
        <v>0</v>
      </c>
      <c r="V40" s="243">
        <f t="shared" si="165"/>
        <v>0.46309700190346881</v>
      </c>
      <c r="W40" s="243">
        <f t="shared" si="166"/>
        <v>1.4472100656568438</v>
      </c>
      <c r="X40" s="241">
        <f t="shared" si="167"/>
        <v>48992.648260142429</v>
      </c>
      <c r="Y40" s="242">
        <f t="shared" si="168"/>
        <v>7.7089117125203152E-2</v>
      </c>
      <c r="Z40" s="243">
        <f t="shared" si="169"/>
        <v>0.77820572704402169</v>
      </c>
      <c r="AA40" s="243">
        <f t="shared" si="170"/>
        <v>4.9530037139422368E-2</v>
      </c>
      <c r="AB40" s="245">
        <f t="shared" si="171"/>
        <v>6.4242119403278855E-2</v>
      </c>
      <c r="AC40" s="245">
        <f t="shared" si="65"/>
        <v>4.3234451330642969</v>
      </c>
      <c r="AD40" s="245">
        <f t="shared" si="172"/>
        <v>12.971999645239999</v>
      </c>
      <c r="AE40" s="245">
        <f t="shared" si="173"/>
        <v>5.1249830095652309E-2</v>
      </c>
      <c r="AF40" s="221"/>
      <c r="AG40" s="211">
        <v>-72.405319000000006</v>
      </c>
      <c r="AH40" s="242">
        <f t="shared" si="174"/>
        <v>0.9963672574156559</v>
      </c>
      <c r="AI40" s="242">
        <f t="shared" si="66"/>
        <v>1.2043751850221573</v>
      </c>
      <c r="AJ40" s="242">
        <f t="shared" si="67"/>
        <v>3.8237006567877501</v>
      </c>
      <c r="AK40" s="242">
        <f t="shared" si="68"/>
        <v>1.5751901969409801</v>
      </c>
      <c r="AL40" s="242">
        <f t="shared" si="69"/>
        <v>1.257189413614429</v>
      </c>
      <c r="AM40" s="213">
        <v>0.648599982262</v>
      </c>
      <c r="AN40" s="212">
        <v>1.00021181952976</v>
      </c>
      <c r="AO40" s="212">
        <v>1.00021181952976</v>
      </c>
      <c r="AP40" s="212">
        <v>1.00021181952976</v>
      </c>
      <c r="AQ40" s="484">
        <f t="shared" si="70"/>
        <v>1.6485999822620001</v>
      </c>
      <c r="AR40" s="247" t="str">
        <f t="shared" ref="AR40:AR71" si="187">IF(BL40=0,IF(M40&lt;S40+1,"unlikely, too shallow",IF(AK40&gt;S40+1,IF(AO40&gt;0,(IF(AL40&gt;S40+1,"possible now","marginally possible now")),"possible if water clarity improves"),"possible if water clarity improves")),IF(LEFT(BM40,1)="y","currently present, field verified",IF(LEFT(BM40,1)="n","mapped as present but not field verified",IF(LEFT(BM40,1)="a","not mapped in 2017, but field verified by another source","mapped as present but only partially field verified"))))</f>
        <v>unlikely, too shallow</v>
      </c>
      <c r="AS40" s="221"/>
      <c r="AT40" s="197">
        <v>1354378</v>
      </c>
      <c r="AU40" s="197">
        <v>0</v>
      </c>
      <c r="AV40" s="197">
        <v>0</v>
      </c>
      <c r="AW40" s="197">
        <v>854.31507549456933</v>
      </c>
      <c r="AX40" s="197">
        <v>172.81054322994203</v>
      </c>
      <c r="AY40" s="197">
        <v>163.46510406339456</v>
      </c>
      <c r="AZ40" s="197">
        <v>15.107200000000001</v>
      </c>
      <c r="BA40" s="214"/>
      <c r="BB40" s="197">
        <v>1205.697922787906</v>
      </c>
      <c r="BC40" s="241">
        <f t="shared" si="175"/>
        <v>1205.697922787906</v>
      </c>
      <c r="BD40" s="241">
        <f t="shared" si="176"/>
        <v>638.47591759579848</v>
      </c>
      <c r="BE40" s="241">
        <f t="shared" si="177"/>
        <v>1205.697922787906</v>
      </c>
      <c r="BF40" s="241">
        <f t="shared" si="86"/>
        <v>638.47591759579848</v>
      </c>
      <c r="BG40" s="248">
        <f t="shared" si="178"/>
        <v>0</v>
      </c>
      <c r="BH40" s="221"/>
      <c r="BI40" s="213">
        <f t="shared" si="71"/>
        <v>80.958225000000013</v>
      </c>
      <c r="BJ40" s="197">
        <v>323832.90000000002</v>
      </c>
      <c r="BK40" s="213">
        <v>0</v>
      </c>
      <c r="BL40" s="197">
        <f t="shared" si="82"/>
        <v>0</v>
      </c>
      <c r="BM40" s="197" t="s">
        <v>549</v>
      </c>
      <c r="BN40" s="221"/>
      <c r="BO40" s="241">
        <f t="shared" si="179"/>
        <v>1.8884000000000001</v>
      </c>
      <c r="BP40" s="241">
        <f t="shared" si="180"/>
        <v>14.056507933535796</v>
      </c>
      <c r="BQ40" s="242">
        <f t="shared" si="119"/>
        <v>1.4485999822619999</v>
      </c>
      <c r="BR40" s="241">
        <f t="shared" si="181"/>
        <v>0</v>
      </c>
      <c r="BS40" s="244">
        <f t="shared" si="182"/>
        <v>4.9530037139422368E-2</v>
      </c>
      <c r="BT40" s="242">
        <f t="shared" si="183"/>
        <v>4.3234451330642969</v>
      </c>
      <c r="BU40" s="241">
        <f t="shared" si="184"/>
        <v>0</v>
      </c>
      <c r="BV40" s="221"/>
      <c r="CI40" s="221"/>
      <c r="CJ40" s="303" t="str">
        <f t="shared" si="120"/>
        <v>complex hydrodynamics</v>
      </c>
      <c r="CK40" s="304">
        <f t="shared" si="121"/>
        <v>3</v>
      </c>
      <c r="CL40" s="303" t="str">
        <f t="shared" si="122"/>
        <v>intermediate or complex water quality</v>
      </c>
      <c r="CM40" s="304">
        <f t="shared" si="123"/>
        <v>3</v>
      </c>
      <c r="CN40" s="303" t="str">
        <f t="shared" si="124"/>
        <v>shallow</v>
      </c>
      <c r="CO40" s="304">
        <f t="shared" si="125"/>
        <v>1</v>
      </c>
      <c r="CP40" s="303" t="str">
        <f t="shared" si="126"/>
        <v>tiny</v>
      </c>
      <c r="CQ40" s="304">
        <f t="shared" si="127"/>
        <v>1</v>
      </c>
      <c r="CR40" s="303" t="str">
        <f t="shared" si="128"/>
        <v>low</v>
      </c>
      <c r="CS40" s="304">
        <f t="shared" si="129"/>
        <v>2</v>
      </c>
      <c r="CT40" s="303" t="str">
        <f t="shared" si="130"/>
        <v>none</v>
      </c>
      <c r="CU40" s="304">
        <f t="shared" si="131"/>
        <v>1</v>
      </c>
      <c r="CV40" s="304">
        <f t="shared" si="132"/>
        <v>113</v>
      </c>
      <c r="CW40" s="304" t="str">
        <f t="shared" si="133"/>
        <v>intermediate complexity hydrodynamics</v>
      </c>
      <c r="CX40" s="304">
        <f t="shared" ref="CX40:CX69" si="188">CK40*$CA$7+CM40*$CF$7+CU40*$CG$11+CQ40*$CA$11+CS40*$CD$11+CO40*$BX$11</f>
        <v>72</v>
      </c>
      <c r="CY40" s="304" t="str">
        <f t="shared" si="134"/>
        <v>intermediate complexity water quality</v>
      </c>
      <c r="CZ40" s="216" t="s">
        <v>622</v>
      </c>
      <c r="DA40" s="252" t="str">
        <f t="shared" si="185"/>
        <v>-</v>
      </c>
      <c r="DB40" s="251" t="str">
        <f t="shared" si="186"/>
        <v>intermediate complexity hydrodynamics; intermediate complexity water quality</v>
      </c>
      <c r="DC40" s="227"/>
      <c r="DD40" s="475" t="str">
        <f t="shared" si="73"/>
        <v>Hagar Creek</v>
      </c>
      <c r="DE40" s="475">
        <f t="shared" si="74"/>
        <v>33</v>
      </c>
      <c r="DF40" s="465">
        <f t="shared" si="135"/>
        <v>1.35</v>
      </c>
      <c r="DG40" s="466">
        <f t="shared" si="136"/>
        <v>0.02</v>
      </c>
      <c r="DH40" s="465">
        <f t="shared" si="137"/>
        <v>0.52</v>
      </c>
      <c r="DI40" s="465">
        <f t="shared" si="138"/>
        <v>36.700000000000003</v>
      </c>
      <c r="DJ40" s="465">
        <f t="shared" si="139"/>
        <v>14</v>
      </c>
      <c r="DK40" s="465">
        <f t="shared" si="140"/>
        <v>0.6</v>
      </c>
      <c r="DL40" s="465">
        <f t="shared" si="141"/>
        <v>0.6</v>
      </c>
      <c r="DM40" s="465">
        <f t="shared" si="142"/>
        <v>1.4</v>
      </c>
      <c r="DN40" s="465">
        <f t="shared" si="143"/>
        <v>0</v>
      </c>
      <c r="DO40" s="465">
        <f t="shared" si="144"/>
        <v>1888</v>
      </c>
      <c r="DP40" s="465">
        <f t="shared" si="145"/>
        <v>24496</v>
      </c>
      <c r="DQ40" s="467">
        <f t="shared" si="146"/>
        <v>1.3</v>
      </c>
      <c r="DR40" s="467">
        <f t="shared" si="147"/>
        <v>0</v>
      </c>
      <c r="DS40" s="467">
        <f t="shared" si="148"/>
        <v>2427</v>
      </c>
      <c r="DT40" s="467">
        <f t="shared" si="149"/>
        <v>0.8</v>
      </c>
      <c r="DU40" s="467">
        <f t="shared" si="150"/>
        <v>0.1</v>
      </c>
      <c r="DV40" s="467">
        <f t="shared" si="151"/>
        <v>80.959999999999994</v>
      </c>
      <c r="DW40" s="467">
        <f t="shared" si="152"/>
        <v>0</v>
      </c>
      <c r="DX40" s="467">
        <f t="shared" si="153"/>
        <v>100</v>
      </c>
      <c r="DY40" s="467">
        <f t="shared" si="154"/>
        <v>100</v>
      </c>
      <c r="DZ40" s="467">
        <f t="shared" si="155"/>
        <v>100</v>
      </c>
      <c r="EA40" s="467">
        <f t="shared" si="156"/>
        <v>1206</v>
      </c>
      <c r="EB40" s="467">
        <f t="shared" si="157"/>
        <v>638</v>
      </c>
      <c r="EC40" s="467">
        <f t="shared" si="158"/>
        <v>0</v>
      </c>
      <c r="ED40" s="467">
        <f t="shared" si="159"/>
        <v>4.9529999999999998E-2</v>
      </c>
      <c r="EE40" s="467">
        <f t="shared" si="160"/>
        <v>4.32</v>
      </c>
      <c r="EF40" s="138">
        <f t="shared" si="75"/>
        <v>1.65</v>
      </c>
      <c r="EG40" s="138" t="str">
        <f t="shared" si="76"/>
        <v>unlikely, too shallow</v>
      </c>
      <c r="EH40" s="138">
        <f t="shared" si="77"/>
        <v>3.82</v>
      </c>
      <c r="EI40" s="138">
        <f t="shared" si="78"/>
        <v>1.58</v>
      </c>
      <c r="EJ40" s="138">
        <f t="shared" si="79"/>
        <v>1.26</v>
      </c>
    </row>
    <row r="41" spans="1:140" ht="44" customHeight="1" x14ac:dyDescent="0.35">
      <c r="A41" s="388">
        <v>34</v>
      </c>
      <c r="B41" s="215" t="s">
        <v>434</v>
      </c>
      <c r="C41" s="210">
        <v>34</v>
      </c>
      <c r="D41" s="196" t="s">
        <v>400</v>
      </c>
      <c r="E41" s="221"/>
      <c r="F41" s="197">
        <v>184613</v>
      </c>
      <c r="G41" s="197">
        <v>4986.241</v>
      </c>
      <c r="H41" s="241">
        <f t="shared" si="60"/>
        <v>37.024483975002411</v>
      </c>
      <c r="I41" s="241">
        <f t="shared" si="61"/>
        <v>134.67415247074149</v>
      </c>
      <c r="J41" s="212">
        <v>0</v>
      </c>
      <c r="K41" s="213">
        <v>0.65</v>
      </c>
      <c r="L41" s="213">
        <v>0.65</v>
      </c>
      <c r="M41" s="213">
        <v>1.55</v>
      </c>
      <c r="N41" s="241">
        <f t="shared" si="161"/>
        <v>18461.3</v>
      </c>
      <c r="O41" s="221"/>
      <c r="P41" s="241">
        <f t="shared" si="62"/>
        <v>37256.723276666635</v>
      </c>
      <c r="Q41" s="241">
        <f t="shared" si="162"/>
        <v>37256.723276666635</v>
      </c>
      <c r="R41" s="242">
        <f t="shared" si="163"/>
        <v>1.3020000457759999</v>
      </c>
      <c r="S41" s="213">
        <v>0.65100002288799996</v>
      </c>
      <c r="T41" s="241">
        <f t="shared" si="164"/>
        <v>240366.13445084466</v>
      </c>
      <c r="U41" s="197">
        <v>0</v>
      </c>
      <c r="V41" s="243">
        <f t="shared" si="165"/>
        <v>3.4509908298162535</v>
      </c>
      <c r="W41" s="243">
        <f t="shared" si="166"/>
        <v>10.941388104810528</v>
      </c>
      <c r="X41" s="241">
        <f t="shared" si="167"/>
        <v>480732.26890168933</v>
      </c>
      <c r="Y41" s="242">
        <f t="shared" si="168"/>
        <v>7.6804912814269058E-2</v>
      </c>
      <c r="Z41" s="243">
        <f t="shared" si="169"/>
        <v>0.49551593313526993</v>
      </c>
      <c r="AA41" s="243">
        <f t="shared" si="170"/>
        <v>7.7499942664106258E-2</v>
      </c>
      <c r="AB41" s="245">
        <f t="shared" si="171"/>
        <v>3.4826726792489597E-2</v>
      </c>
      <c r="AC41" s="245">
        <f t="shared" si="65"/>
        <v>1.4979248412020412</v>
      </c>
      <c r="AD41" s="245">
        <f t="shared" si="172"/>
        <v>13.020000457759998</v>
      </c>
      <c r="AE41" s="245">
        <f t="shared" si="173"/>
        <v>8.0190912895498831E-2</v>
      </c>
      <c r="AF41" s="221"/>
      <c r="AG41" s="211">
        <v>-72.472126000000003</v>
      </c>
      <c r="AH41" s="242">
        <f t="shared" si="174"/>
        <v>0.98511689154566606</v>
      </c>
      <c r="AI41" s="242">
        <f t="shared" si="66"/>
        <v>1.2181295542675941</v>
      </c>
      <c r="AJ41" s="242">
        <f t="shared" si="67"/>
        <v>3.7805257822161376</v>
      </c>
      <c r="AK41" s="242">
        <f t="shared" si="68"/>
        <v>1.557404118666617</v>
      </c>
      <c r="AL41" s="242">
        <f t="shared" si="69"/>
        <v>1.2429940044761099</v>
      </c>
      <c r="AM41" s="213">
        <v>0.65100002288799996</v>
      </c>
      <c r="AN41" s="212">
        <v>1</v>
      </c>
      <c r="AO41" s="212">
        <v>1</v>
      </c>
      <c r="AP41" s="212">
        <v>0.92307692307692302</v>
      </c>
      <c r="AQ41" s="484">
        <f t="shared" si="70"/>
        <v>1.651000022888</v>
      </c>
      <c r="AR41" s="247" t="str">
        <f t="shared" si="187"/>
        <v>unlikely, too shallow</v>
      </c>
      <c r="AS41" s="221"/>
      <c r="AT41" s="197">
        <v>21376020</v>
      </c>
      <c r="AU41" s="197">
        <v>0</v>
      </c>
      <c r="AV41" s="197">
        <v>0</v>
      </c>
      <c r="AW41" s="197">
        <v>3601.2853460550314</v>
      </c>
      <c r="AX41" s="197">
        <v>1448.9848661741144</v>
      </c>
      <c r="AY41" s="197">
        <v>1386.5886936919655</v>
      </c>
      <c r="AZ41" s="197">
        <v>147.69040000000001</v>
      </c>
      <c r="BA41" s="214"/>
      <c r="BB41" s="197">
        <v>6584.5493059211112</v>
      </c>
      <c r="BC41" s="241">
        <f t="shared" si="175"/>
        <v>6584.5493059211112</v>
      </c>
      <c r="BD41" s="241">
        <f t="shared" si="176"/>
        <v>356.66769436177901</v>
      </c>
      <c r="BE41" s="241">
        <f t="shared" si="177"/>
        <v>6584.5493059211112</v>
      </c>
      <c r="BF41" s="241">
        <f t="shared" si="86"/>
        <v>356.66769436177901</v>
      </c>
      <c r="BG41" s="248">
        <f t="shared" si="178"/>
        <v>0</v>
      </c>
      <c r="BH41" s="221"/>
      <c r="BI41" s="213">
        <f t="shared" si="71"/>
        <v>142.24562499999999</v>
      </c>
      <c r="BJ41" s="197">
        <v>568982.5</v>
      </c>
      <c r="BK41" s="213">
        <v>0</v>
      </c>
      <c r="BL41" s="197">
        <f t="shared" si="82"/>
        <v>0</v>
      </c>
      <c r="BM41" s="197" t="s">
        <v>549</v>
      </c>
      <c r="BN41" s="221"/>
      <c r="BO41" s="241">
        <f t="shared" si="179"/>
        <v>18.461300000000001</v>
      </c>
      <c r="BP41" s="241">
        <f t="shared" si="180"/>
        <v>134.67415247074149</v>
      </c>
      <c r="BQ41" s="242">
        <f t="shared" si="119"/>
        <v>1.55</v>
      </c>
      <c r="BR41" s="241">
        <f t="shared" si="181"/>
        <v>0</v>
      </c>
      <c r="BS41" s="244">
        <f t="shared" si="182"/>
        <v>7.7499942664106258E-2</v>
      </c>
      <c r="BT41" s="242">
        <f t="shared" si="183"/>
        <v>1.4979248412020412</v>
      </c>
      <c r="BU41" s="241">
        <f t="shared" si="184"/>
        <v>0</v>
      </c>
      <c r="BV41" s="221"/>
      <c r="CI41" s="221"/>
      <c r="CJ41" s="303" t="str">
        <f t="shared" si="120"/>
        <v>complex hydrodynamics</v>
      </c>
      <c r="CK41" s="304">
        <f t="shared" si="121"/>
        <v>3</v>
      </c>
      <c r="CL41" s="303" t="str">
        <f t="shared" si="122"/>
        <v>intermediate complexity water quality</v>
      </c>
      <c r="CM41" s="304">
        <f t="shared" si="123"/>
        <v>2</v>
      </c>
      <c r="CN41" s="303" t="str">
        <f t="shared" si="124"/>
        <v>shallow</v>
      </c>
      <c r="CO41" s="304">
        <f t="shared" si="125"/>
        <v>1</v>
      </c>
      <c r="CP41" s="303" t="str">
        <f t="shared" si="126"/>
        <v>very small</v>
      </c>
      <c r="CQ41" s="304">
        <f t="shared" si="127"/>
        <v>2</v>
      </c>
      <c r="CR41" s="303" t="str">
        <f t="shared" si="128"/>
        <v>very high</v>
      </c>
      <c r="CS41" s="304">
        <f t="shared" si="129"/>
        <v>5</v>
      </c>
      <c r="CT41" s="303" t="str">
        <f t="shared" si="130"/>
        <v>none</v>
      </c>
      <c r="CU41" s="304">
        <f t="shared" si="131"/>
        <v>1</v>
      </c>
      <c r="CV41" s="304">
        <f t="shared" si="132"/>
        <v>116</v>
      </c>
      <c r="CW41" s="304" t="str">
        <f t="shared" si="133"/>
        <v>intermediate complexity hydrodynamics</v>
      </c>
      <c r="CX41" s="304">
        <f t="shared" si="188"/>
        <v>64</v>
      </c>
      <c r="CY41" s="304" t="str">
        <f t="shared" si="134"/>
        <v>intermediate complexity water quality</v>
      </c>
      <c r="CZ41" s="216" t="s">
        <v>621</v>
      </c>
      <c r="DA41" s="252" t="str">
        <f t="shared" si="185"/>
        <v>-</v>
      </c>
      <c r="DB41" s="251" t="str">
        <f t="shared" si="186"/>
        <v>intermediate complexity hydrodynamics; intermediate complexity water quality</v>
      </c>
      <c r="DC41" s="227"/>
      <c r="DD41" s="475" t="str">
        <f t="shared" si="73"/>
        <v>Patchogue River</v>
      </c>
      <c r="DE41" s="475">
        <f t="shared" si="74"/>
        <v>34</v>
      </c>
      <c r="DF41" s="465">
        <f t="shared" si="135"/>
        <v>21.38</v>
      </c>
      <c r="DG41" s="466">
        <f t="shared" si="136"/>
        <v>0.18</v>
      </c>
      <c r="DH41" s="465">
        <f t="shared" si="137"/>
        <v>4.99</v>
      </c>
      <c r="DI41" s="465">
        <f t="shared" si="138"/>
        <v>37</v>
      </c>
      <c r="DJ41" s="465">
        <f t="shared" si="139"/>
        <v>135</v>
      </c>
      <c r="DK41" s="465">
        <f t="shared" si="140"/>
        <v>0.7</v>
      </c>
      <c r="DL41" s="465">
        <f t="shared" si="141"/>
        <v>0.7</v>
      </c>
      <c r="DM41" s="465">
        <f t="shared" si="142"/>
        <v>1.6</v>
      </c>
      <c r="DN41" s="465">
        <f t="shared" si="143"/>
        <v>0</v>
      </c>
      <c r="DO41" s="465">
        <f t="shared" si="144"/>
        <v>18461</v>
      </c>
      <c r="DP41" s="465">
        <f t="shared" si="145"/>
        <v>240366</v>
      </c>
      <c r="DQ41" s="467">
        <f t="shared" si="146"/>
        <v>1.3</v>
      </c>
      <c r="DR41" s="467">
        <f t="shared" si="147"/>
        <v>0</v>
      </c>
      <c r="DS41" s="467">
        <f t="shared" si="148"/>
        <v>37257</v>
      </c>
      <c r="DT41" s="467">
        <f t="shared" si="149"/>
        <v>0.5</v>
      </c>
      <c r="DU41" s="467">
        <f t="shared" si="150"/>
        <v>0.1</v>
      </c>
      <c r="DV41" s="467">
        <f t="shared" si="151"/>
        <v>142.25</v>
      </c>
      <c r="DW41" s="467">
        <f t="shared" si="152"/>
        <v>0</v>
      </c>
      <c r="DX41" s="467">
        <f t="shared" si="153"/>
        <v>100</v>
      </c>
      <c r="DY41" s="467">
        <f t="shared" si="154"/>
        <v>100</v>
      </c>
      <c r="DZ41" s="467">
        <f t="shared" si="155"/>
        <v>92</v>
      </c>
      <c r="EA41" s="467">
        <f t="shared" si="156"/>
        <v>6585</v>
      </c>
      <c r="EB41" s="467">
        <f t="shared" si="157"/>
        <v>357</v>
      </c>
      <c r="EC41" s="467">
        <f t="shared" si="158"/>
        <v>0</v>
      </c>
      <c r="ED41" s="467">
        <f t="shared" si="159"/>
        <v>7.7499999999999999E-2</v>
      </c>
      <c r="EE41" s="467">
        <f t="shared" si="160"/>
        <v>1.5</v>
      </c>
      <c r="EF41" s="138">
        <f t="shared" si="75"/>
        <v>1.65</v>
      </c>
      <c r="EG41" s="138" t="str">
        <f t="shared" si="76"/>
        <v>unlikely, too shallow</v>
      </c>
      <c r="EH41" s="138">
        <f t="shared" si="77"/>
        <v>3.78</v>
      </c>
      <c r="EI41" s="138">
        <f t="shared" si="78"/>
        <v>1.56</v>
      </c>
      <c r="EJ41" s="138">
        <f t="shared" si="79"/>
        <v>1.24</v>
      </c>
    </row>
    <row r="42" spans="1:140" ht="44" customHeight="1" x14ac:dyDescent="0.35">
      <c r="A42" s="388">
        <v>35</v>
      </c>
      <c r="B42" s="215" t="s">
        <v>435</v>
      </c>
      <c r="C42" s="210">
        <v>35</v>
      </c>
      <c r="D42" s="196" t="s">
        <v>400</v>
      </c>
      <c r="E42" s="221"/>
      <c r="F42" s="197">
        <v>254842</v>
      </c>
      <c r="G42" s="197">
        <v>4511.9859999999999</v>
      </c>
      <c r="H42" s="241">
        <f t="shared" si="60"/>
        <v>56.481114967998572</v>
      </c>
      <c r="I42" s="241">
        <f t="shared" si="61"/>
        <v>79.884860675226221</v>
      </c>
      <c r="J42" s="212">
        <v>0.19920185840638513</v>
      </c>
      <c r="K42" s="213">
        <v>0.94879513580963903</v>
      </c>
      <c r="L42" s="213">
        <v>0.75</v>
      </c>
      <c r="M42" s="213">
        <v>2.19</v>
      </c>
      <c r="N42" s="241">
        <f t="shared" si="161"/>
        <v>66792.852051070397</v>
      </c>
      <c r="O42" s="221"/>
      <c r="P42" s="241">
        <f t="shared" si="62"/>
        <v>78604.199253875966</v>
      </c>
      <c r="Q42" s="241">
        <f t="shared" si="162"/>
        <v>78604.199253875966</v>
      </c>
      <c r="R42" s="242">
        <f t="shared" si="163"/>
        <v>1.373399972916</v>
      </c>
      <c r="S42" s="213">
        <v>0.68669998645800001</v>
      </c>
      <c r="T42" s="241">
        <f t="shared" si="164"/>
        <v>349999.99589785928</v>
      </c>
      <c r="U42" s="197">
        <v>3</v>
      </c>
      <c r="V42" s="243">
        <f t="shared" si="165"/>
        <v>3.2311294068859353</v>
      </c>
      <c r="W42" s="243">
        <f t="shared" si="166"/>
        <v>10.223420229359718</v>
      </c>
      <c r="X42" s="241">
        <f t="shared" si="167"/>
        <v>699999.99179571855</v>
      </c>
      <c r="Y42" s="242">
        <f t="shared" si="168"/>
        <v>0.19083672238259852</v>
      </c>
      <c r="Z42" s="243">
        <f t="shared" si="169"/>
        <v>0.84973643501338569</v>
      </c>
      <c r="AA42" s="243">
        <f t="shared" si="170"/>
        <v>0.11229171453592685</v>
      </c>
      <c r="AB42" s="245">
        <f t="shared" si="171"/>
        <v>3.6285959231613561E-2</v>
      </c>
      <c r="AC42" s="245">
        <f t="shared" si="65"/>
        <v>1.0771337666236618</v>
      </c>
      <c r="AD42" s="245">
        <f t="shared" si="172"/>
        <v>5.240081612778658</v>
      </c>
      <c r="AE42" s="245">
        <f t="shared" si="173"/>
        <v>0.11619073240175765</v>
      </c>
      <c r="AF42" s="221"/>
      <c r="AG42" s="211">
        <v>-72.472126000000003</v>
      </c>
      <c r="AH42" s="242">
        <f t="shared" si="174"/>
        <v>0.98511689154566606</v>
      </c>
      <c r="AI42" s="242">
        <f t="shared" si="66"/>
        <v>1.2181295542675941</v>
      </c>
      <c r="AJ42" s="242">
        <f t="shared" si="67"/>
        <v>3.7805257822161376</v>
      </c>
      <c r="AK42" s="242">
        <f t="shared" si="68"/>
        <v>1.557404118666617</v>
      </c>
      <c r="AL42" s="242">
        <f t="shared" si="69"/>
        <v>1.2429940044761099</v>
      </c>
      <c r="AM42" s="213">
        <v>0.68669998645800001</v>
      </c>
      <c r="AN42" s="212">
        <v>0.99998822800009401</v>
      </c>
      <c r="AO42" s="212">
        <v>0.80078636959370897</v>
      </c>
      <c r="AP42" s="212">
        <v>0.73918741808650101</v>
      </c>
      <c r="AQ42" s="484">
        <f t="shared" si="70"/>
        <v>1.6866999864580001</v>
      </c>
      <c r="AR42" s="247" t="str">
        <f t="shared" si="187"/>
        <v>possible if water clarity improves</v>
      </c>
      <c r="AS42" s="221"/>
      <c r="AT42" s="197">
        <v>45440500</v>
      </c>
      <c r="AU42" s="197">
        <v>0</v>
      </c>
      <c r="AV42" s="197">
        <v>0</v>
      </c>
      <c r="AW42" s="197">
        <v>4786.4489121684255</v>
      </c>
      <c r="AX42" s="197">
        <v>2882.1894434195692</v>
      </c>
      <c r="AY42" s="197">
        <v>2439.6140203180075</v>
      </c>
      <c r="AZ42" s="197">
        <v>203.87360000000001</v>
      </c>
      <c r="BA42" s="214"/>
      <c r="BB42" s="197">
        <v>10312.125975906001</v>
      </c>
      <c r="BC42" s="241">
        <f t="shared" si="175"/>
        <v>10312.125975906001</v>
      </c>
      <c r="BD42" s="241">
        <f t="shared" si="176"/>
        <v>404.64782005736896</v>
      </c>
      <c r="BE42" s="241">
        <f t="shared" si="177"/>
        <v>10312.125975906001</v>
      </c>
      <c r="BF42" s="241">
        <f t="shared" si="86"/>
        <v>404.64782005736896</v>
      </c>
      <c r="BG42" s="248">
        <f t="shared" si="178"/>
        <v>0</v>
      </c>
      <c r="BH42" s="221"/>
      <c r="BI42" s="213">
        <f t="shared" si="71"/>
        <v>200.37582500000005</v>
      </c>
      <c r="BJ42" s="197">
        <v>801503.30000000016</v>
      </c>
      <c r="BK42" s="213">
        <v>0</v>
      </c>
      <c r="BL42" s="197">
        <f t="shared" si="82"/>
        <v>0</v>
      </c>
      <c r="BM42" s="197" t="s">
        <v>549</v>
      </c>
      <c r="BN42" s="221"/>
      <c r="BO42" s="241">
        <f t="shared" si="179"/>
        <v>25.484200000000001</v>
      </c>
      <c r="BP42" s="241">
        <f t="shared" si="180"/>
        <v>79.884860675226221</v>
      </c>
      <c r="BQ42" s="242">
        <f t="shared" si="119"/>
        <v>2.19</v>
      </c>
      <c r="BR42" s="241">
        <f t="shared" si="181"/>
        <v>3</v>
      </c>
      <c r="BS42" s="244">
        <f t="shared" si="182"/>
        <v>0.11229171453592685</v>
      </c>
      <c r="BT42" s="242">
        <f t="shared" si="183"/>
        <v>1.0771337666236618</v>
      </c>
      <c r="BU42" s="241">
        <f t="shared" si="184"/>
        <v>0</v>
      </c>
      <c r="BV42" s="221"/>
      <c r="CI42" s="221"/>
      <c r="CJ42" s="303" t="str">
        <f t="shared" si="120"/>
        <v>complex hydrodynamics</v>
      </c>
      <c r="CK42" s="304">
        <f t="shared" si="121"/>
        <v>3</v>
      </c>
      <c r="CL42" s="303" t="str">
        <f t="shared" si="122"/>
        <v>intermediate complexity water quality</v>
      </c>
      <c r="CM42" s="304">
        <f t="shared" si="123"/>
        <v>2</v>
      </c>
      <c r="CN42" s="303" t="str">
        <f t="shared" si="124"/>
        <v>shallow</v>
      </c>
      <c r="CO42" s="304">
        <f t="shared" si="125"/>
        <v>1</v>
      </c>
      <c r="CP42" s="303" t="str">
        <f t="shared" si="126"/>
        <v>small</v>
      </c>
      <c r="CQ42" s="304">
        <f t="shared" si="127"/>
        <v>3</v>
      </c>
      <c r="CR42" s="303" t="str">
        <f t="shared" si="128"/>
        <v>very high</v>
      </c>
      <c r="CS42" s="304">
        <f t="shared" si="129"/>
        <v>5</v>
      </c>
      <c r="CT42" s="303" t="str">
        <f t="shared" si="130"/>
        <v>mouth</v>
      </c>
      <c r="CU42" s="304">
        <f t="shared" si="131"/>
        <v>4</v>
      </c>
      <c r="CV42" s="304">
        <f t="shared" si="132"/>
        <v>129</v>
      </c>
      <c r="CW42" s="304" t="str">
        <f t="shared" si="133"/>
        <v>intermediate complexity hydrodynamics</v>
      </c>
      <c r="CX42" s="304">
        <f t="shared" si="188"/>
        <v>71</v>
      </c>
      <c r="CY42" s="304" t="str">
        <f t="shared" si="134"/>
        <v>intermediate complexity water quality</v>
      </c>
      <c r="CZ42" s="216" t="s">
        <v>642</v>
      </c>
      <c r="DA42" s="252" t="str">
        <f t="shared" si="185"/>
        <v>-</v>
      </c>
      <c r="DB42" s="251" t="str">
        <f t="shared" si="186"/>
        <v>intermediate complexity hydrodynamics; intermediate complexity water quality</v>
      </c>
      <c r="DC42" s="227"/>
      <c r="DD42" s="475" t="str">
        <f t="shared" si="73"/>
        <v>Menunkesucket River</v>
      </c>
      <c r="DE42" s="475">
        <f t="shared" si="74"/>
        <v>35</v>
      </c>
      <c r="DF42" s="465">
        <f t="shared" si="135"/>
        <v>45.44</v>
      </c>
      <c r="DG42" s="466">
        <f t="shared" si="136"/>
        <v>0.25</v>
      </c>
      <c r="DH42" s="465">
        <f t="shared" si="137"/>
        <v>4.51</v>
      </c>
      <c r="DI42" s="465">
        <f t="shared" si="138"/>
        <v>56.5</v>
      </c>
      <c r="DJ42" s="465">
        <f t="shared" si="139"/>
        <v>80</v>
      </c>
      <c r="DK42" s="465">
        <f t="shared" si="140"/>
        <v>0.9</v>
      </c>
      <c r="DL42" s="465">
        <f t="shared" si="141"/>
        <v>0.8</v>
      </c>
      <c r="DM42" s="465">
        <f t="shared" si="142"/>
        <v>2.2000000000000002</v>
      </c>
      <c r="DN42" s="465">
        <f t="shared" si="143"/>
        <v>20</v>
      </c>
      <c r="DO42" s="465">
        <f t="shared" si="144"/>
        <v>66793</v>
      </c>
      <c r="DP42" s="465">
        <f t="shared" si="145"/>
        <v>350000</v>
      </c>
      <c r="DQ42" s="467">
        <f t="shared" si="146"/>
        <v>1.37</v>
      </c>
      <c r="DR42" s="467">
        <f t="shared" si="147"/>
        <v>3</v>
      </c>
      <c r="DS42" s="467">
        <f t="shared" si="148"/>
        <v>78604</v>
      </c>
      <c r="DT42" s="467">
        <f t="shared" si="149"/>
        <v>0.8</v>
      </c>
      <c r="DU42" s="467">
        <f t="shared" si="150"/>
        <v>0.2</v>
      </c>
      <c r="DV42" s="467">
        <f t="shared" si="151"/>
        <v>200.38</v>
      </c>
      <c r="DW42" s="467">
        <f t="shared" si="152"/>
        <v>0</v>
      </c>
      <c r="DX42" s="467">
        <f t="shared" si="153"/>
        <v>100</v>
      </c>
      <c r="DY42" s="467">
        <f t="shared" si="154"/>
        <v>80</v>
      </c>
      <c r="DZ42" s="467">
        <f t="shared" si="155"/>
        <v>74</v>
      </c>
      <c r="EA42" s="467">
        <f t="shared" si="156"/>
        <v>10312</v>
      </c>
      <c r="EB42" s="467">
        <f t="shared" si="157"/>
        <v>405</v>
      </c>
      <c r="EC42" s="467">
        <f t="shared" si="158"/>
        <v>0</v>
      </c>
      <c r="ED42" s="467">
        <f t="shared" si="159"/>
        <v>0.11229</v>
      </c>
      <c r="EE42" s="467">
        <f t="shared" si="160"/>
        <v>1.08</v>
      </c>
      <c r="EF42" s="138">
        <f t="shared" si="75"/>
        <v>1.69</v>
      </c>
      <c r="EG42" s="138" t="str">
        <f t="shared" si="76"/>
        <v>possible if water clarity improves</v>
      </c>
      <c r="EH42" s="138">
        <f t="shared" si="77"/>
        <v>3.78</v>
      </c>
      <c r="EI42" s="138">
        <f t="shared" si="78"/>
        <v>1.56</v>
      </c>
      <c r="EJ42" s="138">
        <f t="shared" si="79"/>
        <v>1.24</v>
      </c>
    </row>
    <row r="43" spans="1:140" ht="44" customHeight="1" x14ac:dyDescent="0.35">
      <c r="A43" s="388">
        <v>36</v>
      </c>
      <c r="B43" s="215" t="s">
        <v>436</v>
      </c>
      <c r="C43" s="210">
        <v>36</v>
      </c>
      <c r="D43" s="196"/>
      <c r="E43" s="221"/>
      <c r="F43" s="197">
        <v>3112477</v>
      </c>
      <c r="G43" s="197">
        <v>8370.3960000000006</v>
      </c>
      <c r="H43" s="241">
        <f t="shared" si="60"/>
        <v>371.84345878020582</v>
      </c>
      <c r="I43" s="241">
        <f t="shared" si="61"/>
        <v>22.510537169211535</v>
      </c>
      <c r="J43" s="212">
        <v>0.39795314150112593</v>
      </c>
      <c r="K43" s="213">
        <v>1.1471122838819401</v>
      </c>
      <c r="L43" s="213">
        <v>0.95</v>
      </c>
      <c r="M43" s="213">
        <v>4.07</v>
      </c>
      <c r="N43" s="241">
        <f t="shared" si="161"/>
        <v>1187137.0151232725</v>
      </c>
      <c r="O43" s="221"/>
      <c r="P43" s="241">
        <f t="shared" si="62"/>
        <v>260981.72841174502</v>
      </c>
      <c r="Q43" s="241">
        <f t="shared" si="162"/>
        <v>260981.72841174502</v>
      </c>
      <c r="R43" s="242">
        <f t="shared" si="163"/>
        <v>1.531399965286</v>
      </c>
      <c r="S43" s="213">
        <v>0.76569998264299999</v>
      </c>
      <c r="T43" s="241">
        <f t="shared" si="164"/>
        <v>4766447.1697534733</v>
      </c>
      <c r="U43" s="197">
        <v>0</v>
      </c>
      <c r="V43" s="243">
        <f t="shared" si="165"/>
        <v>4.7832949794647597</v>
      </c>
      <c r="W43" s="243">
        <f t="shared" si="166"/>
        <v>15.381270346307803</v>
      </c>
      <c r="X43" s="241">
        <f t="shared" si="167"/>
        <v>9532894.3395069465</v>
      </c>
      <c r="Y43" s="242">
        <f t="shared" si="168"/>
        <v>0.24906119229779963</v>
      </c>
      <c r="Z43" s="243">
        <f t="shared" si="169"/>
        <v>4.5487361216734419</v>
      </c>
      <c r="AA43" s="243">
        <f t="shared" si="170"/>
        <v>2.7376966440314426E-2</v>
      </c>
      <c r="AB43" s="245">
        <f t="shared" si="171"/>
        <v>1.3750194186076824E-2</v>
      </c>
      <c r="AC43" s="245">
        <f t="shared" si="65"/>
        <v>1.6741803997963216</v>
      </c>
      <c r="AD43" s="245">
        <f t="shared" si="172"/>
        <v>4.0150775428887835</v>
      </c>
      <c r="AE43" s="245">
        <f t="shared" si="173"/>
        <v>2.8327555552825342E-2</v>
      </c>
      <c r="AF43" s="221"/>
      <c r="AG43" s="211">
        <v>-72.522504999999995</v>
      </c>
      <c r="AH43" s="242">
        <f t="shared" si="174"/>
        <v>0.97591297213283901</v>
      </c>
      <c r="AI43" s="242">
        <f t="shared" si="66"/>
        <v>1.229617839157751</v>
      </c>
      <c r="AJ43" s="242">
        <f t="shared" si="67"/>
        <v>3.7452044361543142</v>
      </c>
      <c r="AK43" s="242">
        <f t="shared" si="68"/>
        <v>1.5428533357854892</v>
      </c>
      <c r="AL43" s="242">
        <f t="shared" si="69"/>
        <v>1.2313807464495674</v>
      </c>
      <c r="AM43" s="213">
        <v>0.76569998264299999</v>
      </c>
      <c r="AN43" s="212">
        <v>0.98829581712571701</v>
      </c>
      <c r="AO43" s="212">
        <v>0.79517149845605295</v>
      </c>
      <c r="AP43" s="212">
        <v>0.63308548143488297</v>
      </c>
      <c r="AQ43" s="484">
        <f t="shared" si="70"/>
        <v>1.765699982643</v>
      </c>
      <c r="AR43" s="247" t="str">
        <f t="shared" si="187"/>
        <v>possible if water clarity improves</v>
      </c>
      <c r="AS43" s="221"/>
      <c r="AT43" s="197">
        <v>152711500</v>
      </c>
      <c r="AU43" s="197">
        <v>0</v>
      </c>
      <c r="AV43" s="197">
        <v>0</v>
      </c>
      <c r="AW43" s="197">
        <v>26248.809340127344</v>
      </c>
      <c r="AX43" s="197">
        <v>10481.140754762648</v>
      </c>
      <c r="AY43" s="197">
        <v>9933.7779905221942</v>
      </c>
      <c r="AZ43" s="197">
        <v>2489.9816000000001</v>
      </c>
      <c r="BA43" s="214"/>
      <c r="BB43" s="197">
        <v>49153.709685412185</v>
      </c>
      <c r="BC43" s="241">
        <f t="shared" si="175"/>
        <v>49153.709685412185</v>
      </c>
      <c r="BD43" s="241">
        <f t="shared" si="176"/>
        <v>157.92473224834171</v>
      </c>
      <c r="BE43" s="241">
        <f t="shared" si="177"/>
        <v>49153.709685412185</v>
      </c>
      <c r="BF43" s="241">
        <f t="shared" si="86"/>
        <v>157.92473224834171</v>
      </c>
      <c r="BG43" s="248">
        <f t="shared" si="178"/>
        <v>0</v>
      </c>
      <c r="BH43" s="221"/>
      <c r="BI43" s="213">
        <f t="shared" si="71"/>
        <v>1181.1222500000001</v>
      </c>
      <c r="BJ43" s="197">
        <v>4724489</v>
      </c>
      <c r="BK43" s="213">
        <v>0</v>
      </c>
      <c r="BL43" s="197">
        <f t="shared" si="82"/>
        <v>0</v>
      </c>
      <c r="BM43" s="197" t="s">
        <v>549</v>
      </c>
      <c r="BN43" s="221"/>
      <c r="BO43" s="241">
        <f t="shared" si="179"/>
        <v>311.24770000000001</v>
      </c>
      <c r="BP43" s="241">
        <f t="shared" si="180"/>
        <v>22.510537169211535</v>
      </c>
      <c r="BQ43" s="242">
        <f t="shared" si="119"/>
        <v>4.07</v>
      </c>
      <c r="BR43" s="241">
        <f t="shared" si="181"/>
        <v>0</v>
      </c>
      <c r="BS43" s="244">
        <f t="shared" si="182"/>
        <v>2.7376966440314426E-2</v>
      </c>
      <c r="BT43" s="242">
        <f t="shared" si="183"/>
        <v>1.6741803997963216</v>
      </c>
      <c r="BU43" s="241">
        <f t="shared" si="184"/>
        <v>0</v>
      </c>
      <c r="BV43" s="221"/>
      <c r="CI43" s="221"/>
      <c r="CJ43" s="303" t="str">
        <f t="shared" si="120"/>
        <v>intermediate complexity hydrodynamics</v>
      </c>
      <c r="CK43" s="304">
        <f t="shared" si="121"/>
        <v>2</v>
      </c>
      <c r="CL43" s="303" t="str">
        <f t="shared" si="122"/>
        <v>intermediate complexity water quality</v>
      </c>
      <c r="CM43" s="304">
        <f t="shared" si="123"/>
        <v>2</v>
      </c>
      <c r="CN43" s="303" t="str">
        <f t="shared" si="124"/>
        <v>moderate</v>
      </c>
      <c r="CO43" s="304">
        <f t="shared" si="125"/>
        <v>2</v>
      </c>
      <c r="CP43" s="303" t="str">
        <f t="shared" si="126"/>
        <v>mid-size</v>
      </c>
      <c r="CQ43" s="304">
        <f t="shared" si="127"/>
        <v>4</v>
      </c>
      <c r="CR43" s="303" t="str">
        <f t="shared" si="128"/>
        <v>moderate</v>
      </c>
      <c r="CS43" s="304">
        <f t="shared" si="129"/>
        <v>3</v>
      </c>
      <c r="CT43" s="303" t="str">
        <f t="shared" si="130"/>
        <v>none</v>
      </c>
      <c r="CU43" s="304">
        <f t="shared" si="131"/>
        <v>1</v>
      </c>
      <c r="CV43" s="304">
        <f t="shared" si="132"/>
        <v>124</v>
      </c>
      <c r="CW43" s="304" t="str">
        <f t="shared" si="133"/>
        <v>intermediate complexity hydrodynamics</v>
      </c>
      <c r="CX43" s="304">
        <f t="shared" si="188"/>
        <v>90</v>
      </c>
      <c r="CY43" s="304" t="str">
        <f t="shared" si="134"/>
        <v>intermediate complexity water quality</v>
      </c>
      <c r="CZ43" s="216" t="s">
        <v>402</v>
      </c>
      <c r="DA43" s="252" t="str">
        <f t="shared" si="185"/>
        <v>-</v>
      </c>
      <c r="DB43" s="251" t="str">
        <f t="shared" si="186"/>
        <v>intermediate complexity hydrodynamics; intermediate complexity water quality</v>
      </c>
      <c r="DC43" s="227"/>
      <c r="DD43" s="475" t="str">
        <f t="shared" si="73"/>
        <v>Clinton Harbor</v>
      </c>
      <c r="DE43" s="475">
        <f t="shared" si="74"/>
        <v>36</v>
      </c>
      <c r="DF43" s="465">
        <f t="shared" si="135"/>
        <v>152.71</v>
      </c>
      <c r="DG43" s="466">
        <f t="shared" si="136"/>
        <v>3.11</v>
      </c>
      <c r="DH43" s="465">
        <f t="shared" si="137"/>
        <v>8.3699999999999992</v>
      </c>
      <c r="DI43" s="465">
        <f t="shared" si="138"/>
        <v>371.8</v>
      </c>
      <c r="DJ43" s="465">
        <f t="shared" si="139"/>
        <v>23</v>
      </c>
      <c r="DK43" s="465">
        <f t="shared" si="140"/>
        <v>1.1000000000000001</v>
      </c>
      <c r="DL43" s="465">
        <f t="shared" si="141"/>
        <v>1</v>
      </c>
      <c r="DM43" s="465">
        <f t="shared" si="142"/>
        <v>4.0999999999999996</v>
      </c>
      <c r="DN43" s="465">
        <f t="shared" si="143"/>
        <v>40</v>
      </c>
      <c r="DO43" s="465">
        <f t="shared" si="144"/>
        <v>1187137</v>
      </c>
      <c r="DP43" s="465">
        <f t="shared" si="145"/>
        <v>4766447</v>
      </c>
      <c r="DQ43" s="467">
        <f t="shared" si="146"/>
        <v>1.53</v>
      </c>
      <c r="DR43" s="467">
        <f t="shared" si="147"/>
        <v>0</v>
      </c>
      <c r="DS43" s="467">
        <f t="shared" si="148"/>
        <v>260982</v>
      </c>
      <c r="DT43" s="467">
        <f t="shared" si="149"/>
        <v>4.5</v>
      </c>
      <c r="DU43" s="467">
        <f t="shared" si="150"/>
        <v>0.2</v>
      </c>
      <c r="DV43" s="467">
        <f t="shared" si="151"/>
        <v>1181.1199999999999</v>
      </c>
      <c r="DW43" s="467">
        <f t="shared" si="152"/>
        <v>0</v>
      </c>
      <c r="DX43" s="467">
        <f t="shared" si="153"/>
        <v>99</v>
      </c>
      <c r="DY43" s="467">
        <f t="shared" si="154"/>
        <v>80</v>
      </c>
      <c r="DZ43" s="467">
        <f t="shared" si="155"/>
        <v>63</v>
      </c>
      <c r="EA43" s="467">
        <f t="shared" si="156"/>
        <v>49154</v>
      </c>
      <c r="EB43" s="467">
        <f t="shared" si="157"/>
        <v>158</v>
      </c>
      <c r="EC43" s="467">
        <f t="shared" si="158"/>
        <v>0</v>
      </c>
      <c r="ED43" s="467">
        <f t="shared" si="159"/>
        <v>2.7380000000000002E-2</v>
      </c>
      <c r="EE43" s="467">
        <f t="shared" si="160"/>
        <v>1.67</v>
      </c>
      <c r="EF43" s="138">
        <f t="shared" si="75"/>
        <v>1.77</v>
      </c>
      <c r="EG43" s="138" t="str">
        <f t="shared" si="76"/>
        <v>possible if water clarity improves</v>
      </c>
      <c r="EH43" s="138">
        <f t="shared" si="77"/>
        <v>3.75</v>
      </c>
      <c r="EI43" s="138">
        <f t="shared" si="78"/>
        <v>1.54</v>
      </c>
      <c r="EJ43" s="138">
        <f t="shared" si="79"/>
        <v>1.23</v>
      </c>
    </row>
    <row r="44" spans="1:140" ht="44" customHeight="1" x14ac:dyDescent="0.35">
      <c r="A44" s="388">
        <v>37</v>
      </c>
      <c r="B44" s="215" t="s">
        <v>437</v>
      </c>
      <c r="C44" s="210">
        <v>37</v>
      </c>
      <c r="D44" s="196"/>
      <c r="E44" s="221"/>
      <c r="F44" s="197">
        <v>15715</v>
      </c>
      <c r="G44" s="197">
        <v>548.83370000000002</v>
      </c>
      <c r="H44" s="241">
        <f t="shared" si="60"/>
        <v>28.633445796058076</v>
      </c>
      <c r="I44" s="241">
        <f t="shared" si="61"/>
        <v>19.167574308348076</v>
      </c>
      <c r="J44" s="212">
        <v>0</v>
      </c>
      <c r="K44" s="213">
        <v>0.65008272351256802</v>
      </c>
      <c r="L44" s="213">
        <v>0.65</v>
      </c>
      <c r="M44" s="213">
        <v>1.502899992466</v>
      </c>
      <c r="N44" s="241">
        <f t="shared" si="161"/>
        <v>1571.5</v>
      </c>
      <c r="O44" s="221"/>
      <c r="P44" s="241">
        <f t="shared" si="62"/>
        <v>5483.4861092550263</v>
      </c>
      <c r="Q44" s="241">
        <f t="shared" si="162"/>
        <v>5483.4861092550263</v>
      </c>
      <c r="R44" s="242">
        <f t="shared" si="163"/>
        <v>1.405799984932</v>
      </c>
      <c r="S44" s="213">
        <v>0.70289999246599999</v>
      </c>
      <c r="T44" s="241">
        <f t="shared" si="164"/>
        <v>22092.14676320638</v>
      </c>
      <c r="U44" s="197">
        <v>0</v>
      </c>
      <c r="V44" s="243">
        <f t="shared" si="165"/>
        <v>0.49199311813817431</v>
      </c>
      <c r="W44" s="243">
        <f t="shared" si="166"/>
        <v>1.5376883129481758</v>
      </c>
      <c r="X44" s="241">
        <f t="shared" si="167"/>
        <v>44184.293526412759</v>
      </c>
      <c r="Y44" s="242">
        <f t="shared" si="168"/>
        <v>7.1133874713220385E-2</v>
      </c>
      <c r="Z44" s="243">
        <f t="shared" si="169"/>
        <v>0.28658775980988127</v>
      </c>
      <c r="AA44" s="243">
        <f t="shared" si="170"/>
        <v>0.12410487237907457</v>
      </c>
      <c r="AB44" s="245">
        <f t="shared" si="171"/>
        <v>0.12760374714398867</v>
      </c>
      <c r="AC44" s="245">
        <f t="shared" si="65"/>
        <v>3.427309626604262</v>
      </c>
      <c r="AD44" s="245">
        <f t="shared" si="172"/>
        <v>14.05799984932</v>
      </c>
      <c r="AE44" s="245">
        <f t="shared" si="173"/>
        <v>0.12841406933668131</v>
      </c>
      <c r="AF44" s="221"/>
      <c r="AG44" s="211">
        <v>-72.570790000000002</v>
      </c>
      <c r="AH44" s="242">
        <f t="shared" si="174"/>
        <v>0.96651057381885996</v>
      </c>
      <c r="AI44" s="242">
        <f t="shared" si="66"/>
        <v>1.2415797948889278</v>
      </c>
      <c r="AJ44" s="242">
        <f t="shared" si="67"/>
        <v>3.709121399160713</v>
      </c>
      <c r="AK44" s="242">
        <f t="shared" si="68"/>
        <v>1.5279887709960667</v>
      </c>
      <c r="AL44" s="242">
        <f t="shared" si="69"/>
        <v>1.2195170530825448</v>
      </c>
      <c r="AM44" s="213">
        <v>0.70289999246599999</v>
      </c>
      <c r="AN44" s="212">
        <v>1.0001272669424099</v>
      </c>
      <c r="AO44" s="212">
        <v>1.0001272669424099</v>
      </c>
      <c r="AP44" s="212">
        <v>0.92319440025453403</v>
      </c>
      <c r="AQ44" s="484">
        <f t="shared" si="70"/>
        <v>1.702899992466</v>
      </c>
      <c r="AR44" s="247" t="str">
        <f t="shared" si="187"/>
        <v>unlikely, too shallow</v>
      </c>
      <c r="AS44" s="221"/>
      <c r="AT44" s="197">
        <v>3085840</v>
      </c>
      <c r="AU44" s="197">
        <v>0</v>
      </c>
      <c r="AV44" s="197">
        <v>0</v>
      </c>
      <c r="AW44" s="197">
        <v>1371.3489416258333</v>
      </c>
      <c r="AX44" s="197">
        <v>625.83491454458692</v>
      </c>
      <c r="AY44" s="197">
        <v>303.53924357866202</v>
      </c>
      <c r="AZ44" s="197">
        <v>12.572000000000001</v>
      </c>
      <c r="BA44" s="214"/>
      <c r="BB44" s="197">
        <v>2313.2950997490825</v>
      </c>
      <c r="BC44" s="241">
        <f t="shared" si="175"/>
        <v>2313.2950997490825</v>
      </c>
      <c r="BD44" s="241">
        <f t="shared" si="176"/>
        <v>1472.0299712052704</v>
      </c>
      <c r="BE44" s="241">
        <f t="shared" si="177"/>
        <v>2313.2950997490825</v>
      </c>
      <c r="BF44" s="241">
        <f t="shared" si="86"/>
        <v>1472.0299712052704</v>
      </c>
      <c r="BG44" s="248">
        <f t="shared" si="178"/>
        <v>0</v>
      </c>
      <c r="BH44" s="221"/>
      <c r="BI44" s="213">
        <f t="shared" si="71"/>
        <v>97.496975000000006</v>
      </c>
      <c r="BJ44" s="197">
        <v>389987.9</v>
      </c>
      <c r="BK44" s="213">
        <v>0</v>
      </c>
      <c r="BL44" s="197">
        <f t="shared" si="82"/>
        <v>0</v>
      </c>
      <c r="BM44" s="197"/>
      <c r="BN44" s="221"/>
      <c r="BO44" s="241">
        <f t="shared" si="179"/>
        <v>1.5714999999999999</v>
      </c>
      <c r="BP44" s="241">
        <f t="shared" si="180"/>
        <v>19.167574308348076</v>
      </c>
      <c r="BQ44" s="242">
        <f t="shared" si="119"/>
        <v>1.502899992466</v>
      </c>
      <c r="BR44" s="241">
        <f t="shared" si="181"/>
        <v>0</v>
      </c>
      <c r="BS44" s="244">
        <f t="shared" si="182"/>
        <v>0.12410487237907457</v>
      </c>
      <c r="BT44" s="242">
        <f t="shared" si="183"/>
        <v>3.427309626604262</v>
      </c>
      <c r="BU44" s="241">
        <f t="shared" si="184"/>
        <v>0</v>
      </c>
      <c r="BV44" s="221"/>
      <c r="CI44" s="221"/>
      <c r="CJ44" s="303" t="str">
        <f t="shared" si="120"/>
        <v>complex hydrodynamics</v>
      </c>
      <c r="CK44" s="304">
        <f t="shared" si="121"/>
        <v>3</v>
      </c>
      <c r="CL44" s="303" t="str">
        <f t="shared" si="122"/>
        <v>intermediate or complex water quality</v>
      </c>
      <c r="CM44" s="304">
        <f t="shared" si="123"/>
        <v>3</v>
      </c>
      <c r="CN44" s="303" t="str">
        <f t="shared" si="124"/>
        <v>shallow</v>
      </c>
      <c r="CO44" s="304">
        <f t="shared" si="125"/>
        <v>1</v>
      </c>
      <c r="CP44" s="303" t="str">
        <f t="shared" si="126"/>
        <v>tiny</v>
      </c>
      <c r="CQ44" s="304">
        <f t="shared" si="127"/>
        <v>1</v>
      </c>
      <c r="CR44" s="303" t="str">
        <f t="shared" si="128"/>
        <v>low</v>
      </c>
      <c r="CS44" s="304">
        <f t="shared" si="129"/>
        <v>2</v>
      </c>
      <c r="CT44" s="303" t="str">
        <f t="shared" si="130"/>
        <v>none</v>
      </c>
      <c r="CU44" s="304">
        <f t="shared" si="131"/>
        <v>1</v>
      </c>
      <c r="CV44" s="304">
        <f t="shared" si="132"/>
        <v>113</v>
      </c>
      <c r="CW44" s="304" t="str">
        <f t="shared" si="133"/>
        <v>intermediate complexity hydrodynamics</v>
      </c>
      <c r="CX44" s="304">
        <f t="shared" si="188"/>
        <v>72</v>
      </c>
      <c r="CY44" s="304" t="str">
        <f t="shared" si="134"/>
        <v>intermediate complexity water quality</v>
      </c>
      <c r="CZ44" s="216" t="s">
        <v>623</v>
      </c>
      <c r="DA44" s="252" t="str">
        <f t="shared" si="185"/>
        <v>-</v>
      </c>
      <c r="DB44" s="251" t="str">
        <f t="shared" si="186"/>
        <v>intermediate complexity hydrodynamics; intermediate complexity water quality</v>
      </c>
      <c r="DC44" s="227"/>
      <c r="DD44" s="475" t="str">
        <f t="shared" si="73"/>
        <v>Toms Creek</v>
      </c>
      <c r="DE44" s="475">
        <f t="shared" si="74"/>
        <v>37</v>
      </c>
      <c r="DF44" s="465">
        <f t="shared" si="135"/>
        <v>3.09</v>
      </c>
      <c r="DG44" s="466">
        <f t="shared" si="136"/>
        <v>0.02</v>
      </c>
      <c r="DH44" s="465">
        <f t="shared" si="137"/>
        <v>0.55000000000000004</v>
      </c>
      <c r="DI44" s="465">
        <f t="shared" si="138"/>
        <v>28.6</v>
      </c>
      <c r="DJ44" s="465">
        <f t="shared" si="139"/>
        <v>19</v>
      </c>
      <c r="DK44" s="465">
        <f t="shared" si="140"/>
        <v>0.7</v>
      </c>
      <c r="DL44" s="465">
        <f t="shared" si="141"/>
        <v>0.7</v>
      </c>
      <c r="DM44" s="465">
        <f t="shared" si="142"/>
        <v>1.5</v>
      </c>
      <c r="DN44" s="465">
        <f t="shared" si="143"/>
        <v>0</v>
      </c>
      <c r="DO44" s="465">
        <f t="shared" si="144"/>
        <v>1572</v>
      </c>
      <c r="DP44" s="465">
        <f t="shared" si="145"/>
        <v>22092</v>
      </c>
      <c r="DQ44" s="467">
        <f t="shared" si="146"/>
        <v>1.41</v>
      </c>
      <c r="DR44" s="467">
        <f t="shared" si="147"/>
        <v>0</v>
      </c>
      <c r="DS44" s="467">
        <f t="shared" si="148"/>
        <v>5483</v>
      </c>
      <c r="DT44" s="467">
        <f t="shared" si="149"/>
        <v>0.3</v>
      </c>
      <c r="DU44" s="467">
        <f t="shared" si="150"/>
        <v>0.1</v>
      </c>
      <c r="DV44" s="467">
        <f t="shared" si="151"/>
        <v>97.5</v>
      </c>
      <c r="DW44" s="467">
        <f t="shared" si="152"/>
        <v>0</v>
      </c>
      <c r="DX44" s="467">
        <f t="shared" si="153"/>
        <v>100</v>
      </c>
      <c r="DY44" s="467">
        <f t="shared" si="154"/>
        <v>100</v>
      </c>
      <c r="DZ44" s="467">
        <f t="shared" si="155"/>
        <v>92</v>
      </c>
      <c r="EA44" s="467">
        <f t="shared" si="156"/>
        <v>2313</v>
      </c>
      <c r="EB44" s="467">
        <f t="shared" si="157"/>
        <v>1472</v>
      </c>
      <c r="EC44" s="467">
        <f t="shared" si="158"/>
        <v>0</v>
      </c>
      <c r="ED44" s="467">
        <f t="shared" si="159"/>
        <v>0.1241</v>
      </c>
      <c r="EE44" s="467">
        <f t="shared" si="160"/>
        <v>3.43</v>
      </c>
      <c r="EF44" s="138">
        <f t="shared" si="75"/>
        <v>1.7</v>
      </c>
      <c r="EG44" s="138" t="str">
        <f t="shared" si="76"/>
        <v>unlikely, too shallow</v>
      </c>
      <c r="EH44" s="138">
        <f t="shared" si="77"/>
        <v>3.71</v>
      </c>
      <c r="EI44" s="138">
        <f t="shared" si="78"/>
        <v>1.53</v>
      </c>
      <c r="EJ44" s="138">
        <f t="shared" si="79"/>
        <v>1.22</v>
      </c>
    </row>
    <row r="45" spans="1:140" ht="44" customHeight="1" x14ac:dyDescent="0.35">
      <c r="A45" s="388">
        <v>38</v>
      </c>
      <c r="B45" s="215" t="s">
        <v>438</v>
      </c>
      <c r="C45" s="210">
        <v>38</v>
      </c>
      <c r="D45" s="196"/>
      <c r="E45" s="221"/>
      <c r="F45" s="197">
        <v>18644</v>
      </c>
      <c r="G45" s="197">
        <v>1377.162</v>
      </c>
      <c r="H45" s="241">
        <f t="shared" si="60"/>
        <v>13.537986090234845</v>
      </c>
      <c r="I45" s="241">
        <f t="shared" si="61"/>
        <v>101.72576562132589</v>
      </c>
      <c r="J45" s="212">
        <v>0</v>
      </c>
      <c r="K45" s="213">
        <v>0.70015018236430004</v>
      </c>
      <c r="L45" s="213">
        <v>0.65</v>
      </c>
      <c r="M45" s="213">
        <v>1.5501999735830001</v>
      </c>
      <c r="N45" s="241">
        <f t="shared" si="161"/>
        <v>1864.4</v>
      </c>
      <c r="O45" s="221"/>
      <c r="P45" s="241">
        <f t="shared" si="62"/>
        <v>6639.4626564072505</v>
      </c>
      <c r="Q45" s="241">
        <f t="shared" si="162"/>
        <v>6639.4626564072505</v>
      </c>
      <c r="R45" s="242">
        <f t="shared" si="163"/>
        <v>1.5003999471659999</v>
      </c>
      <c r="S45" s="213">
        <v>0.75019997358299995</v>
      </c>
      <c r="T45" s="241">
        <f t="shared" si="164"/>
        <v>27973.456614962903</v>
      </c>
      <c r="U45" s="197">
        <v>0</v>
      </c>
      <c r="V45" s="243">
        <f t="shared" si="165"/>
        <v>1.179548270801215</v>
      </c>
      <c r="W45" s="243">
        <f t="shared" si="166"/>
        <v>3.6948532016814499</v>
      </c>
      <c r="X45" s="241">
        <f t="shared" si="167"/>
        <v>55946.913229925805</v>
      </c>
      <c r="Y45" s="242">
        <f t="shared" si="168"/>
        <v>6.6648895975291778E-2</v>
      </c>
      <c r="Z45" s="243">
        <f t="shared" si="169"/>
        <v>0.28080585681144038</v>
      </c>
      <c r="AA45" s="243">
        <f t="shared" si="170"/>
        <v>0.11867433381214364</v>
      </c>
      <c r="AB45" s="245">
        <f t="shared" si="171"/>
        <v>0.12228283306083605</v>
      </c>
      <c r="AC45" s="245">
        <f t="shared" si="65"/>
        <v>3.4346891231034711</v>
      </c>
      <c r="AD45" s="245">
        <f t="shared" si="172"/>
        <v>15.003999471659998</v>
      </c>
      <c r="AE45" s="245">
        <f t="shared" si="173"/>
        <v>0.12279497040284308</v>
      </c>
      <c r="AF45" s="221"/>
      <c r="AG45" s="211">
        <v>-72.585256000000001</v>
      </c>
      <c r="AH45" s="242">
        <f t="shared" si="174"/>
        <v>0.96358293722837796</v>
      </c>
      <c r="AI45" s="242">
        <f t="shared" si="66"/>
        <v>1.2453520642983209</v>
      </c>
      <c r="AJ45" s="242">
        <f t="shared" si="67"/>
        <v>3.6978861785424675</v>
      </c>
      <c r="AK45" s="242">
        <f t="shared" si="68"/>
        <v>1.5233603727591614</v>
      </c>
      <c r="AL45" s="242">
        <f t="shared" si="69"/>
        <v>1.2158230399552861</v>
      </c>
      <c r="AM45" s="213">
        <v>0.75019997358299995</v>
      </c>
      <c r="AN45" s="212">
        <v>1.0002145462347101</v>
      </c>
      <c r="AO45" s="212">
        <v>1.0002145462347101</v>
      </c>
      <c r="AP45" s="212">
        <v>0.85732675391546898</v>
      </c>
      <c r="AQ45" s="484">
        <f t="shared" si="70"/>
        <v>1.7501999735829998</v>
      </c>
      <c r="AR45" s="247" t="str">
        <f t="shared" si="187"/>
        <v>unlikely, too shallow</v>
      </c>
      <c r="AS45" s="221"/>
      <c r="AT45" s="197">
        <v>3743594</v>
      </c>
      <c r="AU45" s="197">
        <v>0</v>
      </c>
      <c r="AV45" s="197">
        <v>0</v>
      </c>
      <c r="AW45" s="197">
        <v>1961.1331185697254</v>
      </c>
      <c r="AX45" s="197">
        <v>525.58378237398711</v>
      </c>
      <c r="AY45" s="197">
        <v>291.8002634090758</v>
      </c>
      <c r="AZ45" s="197">
        <v>14.9152</v>
      </c>
      <c r="BA45" s="214"/>
      <c r="BB45" s="197">
        <v>2793.4323643527882</v>
      </c>
      <c r="BC45" s="241">
        <f t="shared" si="175"/>
        <v>2793.4323643527882</v>
      </c>
      <c r="BD45" s="241">
        <f t="shared" si="176"/>
        <v>1498.3009892473656</v>
      </c>
      <c r="BE45" s="241">
        <f t="shared" si="177"/>
        <v>2793.4323643527882</v>
      </c>
      <c r="BF45" s="241">
        <f t="shared" si="86"/>
        <v>1498.3009892473656</v>
      </c>
      <c r="BG45" s="248">
        <f t="shared" si="178"/>
        <v>0</v>
      </c>
      <c r="BH45" s="221"/>
      <c r="BI45" s="213">
        <f t="shared" si="71"/>
        <v>49.359774999999999</v>
      </c>
      <c r="BJ45" s="197">
        <v>197439.1</v>
      </c>
      <c r="BK45" s="213">
        <v>0</v>
      </c>
      <c r="BL45" s="197">
        <f t="shared" si="82"/>
        <v>0</v>
      </c>
      <c r="BM45" s="197"/>
      <c r="BN45" s="221"/>
      <c r="BO45" s="241">
        <f t="shared" si="179"/>
        <v>1.8644000000000001</v>
      </c>
      <c r="BP45" s="241">
        <f t="shared" si="180"/>
        <v>101.72576562132589</v>
      </c>
      <c r="BQ45" s="242">
        <f t="shared" si="119"/>
        <v>1.5501999735830001</v>
      </c>
      <c r="BR45" s="241">
        <f t="shared" si="181"/>
        <v>0</v>
      </c>
      <c r="BS45" s="244">
        <f t="shared" si="182"/>
        <v>0.11867433381214364</v>
      </c>
      <c r="BT45" s="242">
        <f t="shared" si="183"/>
        <v>3.4346891231034711</v>
      </c>
      <c r="BU45" s="241">
        <f t="shared" si="184"/>
        <v>0</v>
      </c>
      <c r="BV45" s="221"/>
      <c r="CI45" s="221"/>
      <c r="CJ45" s="303" t="str">
        <f t="shared" si="120"/>
        <v>complex hydrodynamics</v>
      </c>
      <c r="CK45" s="304">
        <f t="shared" si="121"/>
        <v>3</v>
      </c>
      <c r="CL45" s="303" t="str">
        <f t="shared" si="122"/>
        <v>intermediate or complex water quality</v>
      </c>
      <c r="CM45" s="304">
        <f t="shared" si="123"/>
        <v>3</v>
      </c>
      <c r="CN45" s="303" t="str">
        <f t="shared" si="124"/>
        <v>shallow</v>
      </c>
      <c r="CO45" s="304">
        <f t="shared" si="125"/>
        <v>1</v>
      </c>
      <c r="CP45" s="303" t="str">
        <f t="shared" si="126"/>
        <v>tiny</v>
      </c>
      <c r="CQ45" s="304">
        <f t="shared" si="127"/>
        <v>1</v>
      </c>
      <c r="CR45" s="303" t="str">
        <f t="shared" si="128"/>
        <v>very high</v>
      </c>
      <c r="CS45" s="304">
        <f t="shared" si="129"/>
        <v>5</v>
      </c>
      <c r="CT45" s="303" t="str">
        <f t="shared" si="130"/>
        <v>none</v>
      </c>
      <c r="CU45" s="304">
        <f t="shared" si="131"/>
        <v>1</v>
      </c>
      <c r="CV45" s="304">
        <f t="shared" si="132"/>
        <v>116</v>
      </c>
      <c r="CW45" s="304" t="str">
        <f t="shared" si="133"/>
        <v>intermediate complexity hydrodynamics</v>
      </c>
      <c r="CX45" s="304">
        <f t="shared" si="188"/>
        <v>75</v>
      </c>
      <c r="CY45" s="304" t="str">
        <f t="shared" si="134"/>
        <v>intermediate complexity water quality</v>
      </c>
      <c r="CZ45" s="216" t="s">
        <v>623</v>
      </c>
      <c r="DA45" s="252" t="str">
        <f t="shared" si="185"/>
        <v>-</v>
      </c>
      <c r="DB45" s="251" t="str">
        <f t="shared" si="186"/>
        <v>intermediate complexity hydrodynamics; intermediate complexity water quality</v>
      </c>
      <c r="DC45" s="227"/>
      <c r="DD45" s="475" t="str">
        <f t="shared" si="73"/>
        <v>Fence Creek</v>
      </c>
      <c r="DE45" s="475">
        <f t="shared" si="74"/>
        <v>38</v>
      </c>
      <c r="DF45" s="465">
        <f t="shared" si="135"/>
        <v>3.74</v>
      </c>
      <c r="DG45" s="466">
        <f t="shared" si="136"/>
        <v>0.02</v>
      </c>
      <c r="DH45" s="465">
        <f t="shared" si="137"/>
        <v>1.38</v>
      </c>
      <c r="DI45" s="465">
        <f t="shared" si="138"/>
        <v>13.5</v>
      </c>
      <c r="DJ45" s="465">
        <f t="shared" si="139"/>
        <v>102</v>
      </c>
      <c r="DK45" s="465">
        <f t="shared" si="140"/>
        <v>0.7</v>
      </c>
      <c r="DL45" s="465">
        <f t="shared" si="141"/>
        <v>0.7</v>
      </c>
      <c r="DM45" s="465">
        <f t="shared" si="142"/>
        <v>1.6</v>
      </c>
      <c r="DN45" s="465">
        <f t="shared" si="143"/>
        <v>0</v>
      </c>
      <c r="DO45" s="465">
        <f t="shared" si="144"/>
        <v>1864</v>
      </c>
      <c r="DP45" s="465">
        <f t="shared" si="145"/>
        <v>27973</v>
      </c>
      <c r="DQ45" s="467">
        <f t="shared" si="146"/>
        <v>1.5</v>
      </c>
      <c r="DR45" s="467">
        <f t="shared" si="147"/>
        <v>0</v>
      </c>
      <c r="DS45" s="467">
        <f t="shared" si="148"/>
        <v>6639</v>
      </c>
      <c r="DT45" s="467">
        <f t="shared" si="149"/>
        <v>0.3</v>
      </c>
      <c r="DU45" s="467">
        <f t="shared" si="150"/>
        <v>0.1</v>
      </c>
      <c r="DV45" s="467">
        <f t="shared" si="151"/>
        <v>49.36</v>
      </c>
      <c r="DW45" s="467">
        <f t="shared" si="152"/>
        <v>0</v>
      </c>
      <c r="DX45" s="467">
        <f t="shared" si="153"/>
        <v>100</v>
      </c>
      <c r="DY45" s="467">
        <f t="shared" si="154"/>
        <v>100</v>
      </c>
      <c r="DZ45" s="467">
        <f t="shared" si="155"/>
        <v>86</v>
      </c>
      <c r="EA45" s="467">
        <f t="shared" si="156"/>
        <v>2793</v>
      </c>
      <c r="EB45" s="467">
        <f t="shared" si="157"/>
        <v>1498</v>
      </c>
      <c r="EC45" s="467">
        <f t="shared" si="158"/>
        <v>0</v>
      </c>
      <c r="ED45" s="467">
        <f t="shared" si="159"/>
        <v>0.11867</v>
      </c>
      <c r="EE45" s="467">
        <f t="shared" si="160"/>
        <v>3.43</v>
      </c>
      <c r="EF45" s="138">
        <f t="shared" si="75"/>
        <v>1.75</v>
      </c>
      <c r="EG45" s="138" t="str">
        <f t="shared" si="76"/>
        <v>unlikely, too shallow</v>
      </c>
      <c r="EH45" s="138">
        <f t="shared" si="77"/>
        <v>3.7</v>
      </c>
      <c r="EI45" s="138">
        <f t="shared" si="78"/>
        <v>1.52</v>
      </c>
      <c r="EJ45" s="138">
        <f t="shared" si="79"/>
        <v>1.22</v>
      </c>
    </row>
    <row r="46" spans="1:140" ht="44" customHeight="1" x14ac:dyDescent="0.35">
      <c r="A46" s="388">
        <v>39</v>
      </c>
      <c r="B46" s="215" t="s">
        <v>439</v>
      </c>
      <c r="C46" s="210">
        <v>39</v>
      </c>
      <c r="D46" s="196"/>
      <c r="E46" s="221"/>
      <c r="F46" s="197">
        <v>1822437</v>
      </c>
      <c r="G46" s="197">
        <v>8127.0959999999995</v>
      </c>
      <c r="H46" s="241">
        <f t="shared" si="60"/>
        <v>224.24209090184243</v>
      </c>
      <c r="I46" s="241">
        <f t="shared" si="61"/>
        <v>36.242509010306527</v>
      </c>
      <c r="J46" s="212">
        <v>0.36912716324350309</v>
      </c>
      <c r="K46" s="213">
        <v>1.0172171195081099</v>
      </c>
      <c r="L46" s="213">
        <v>0.95</v>
      </c>
      <c r="M46" s="213">
        <v>2.6</v>
      </c>
      <c r="N46" s="241">
        <f t="shared" si="161"/>
        <v>394042.08036360604</v>
      </c>
      <c r="O46" s="221"/>
      <c r="P46" s="241">
        <f t="shared" si="62"/>
        <v>223719.10197524237</v>
      </c>
      <c r="Q46" s="241">
        <f t="shared" si="162"/>
        <v>223719.10197524237</v>
      </c>
      <c r="R46" s="242">
        <f t="shared" si="163"/>
        <v>1.6019999980920001</v>
      </c>
      <c r="S46" s="213">
        <v>0.80099999904600006</v>
      </c>
      <c r="T46" s="241">
        <f t="shared" si="164"/>
        <v>2919544.0705227903</v>
      </c>
      <c r="U46" s="197">
        <v>0</v>
      </c>
      <c r="V46" s="243">
        <f t="shared" si="165"/>
        <v>4.6072044352812593</v>
      </c>
      <c r="W46" s="243">
        <f t="shared" si="166"/>
        <v>14.817036321902799</v>
      </c>
      <c r="X46" s="241">
        <f t="shared" si="167"/>
        <v>5839088.1410455806</v>
      </c>
      <c r="Y46" s="242">
        <f t="shared" si="168"/>
        <v>0.1349669917101291</v>
      </c>
      <c r="Z46" s="243">
        <f t="shared" si="169"/>
        <v>1.7613251478508629</v>
      </c>
      <c r="AA46" s="243">
        <f t="shared" si="170"/>
        <v>3.8314047771024387E-2</v>
      </c>
      <c r="AB46" s="245">
        <f t="shared" si="171"/>
        <v>2.1794973140957498E-2</v>
      </c>
      <c r="AC46" s="245">
        <f t="shared" si="65"/>
        <v>1.8961690214522566</v>
      </c>
      <c r="AD46" s="245">
        <f t="shared" si="172"/>
        <v>7.4092190048046476</v>
      </c>
      <c r="AE46" s="245">
        <f t="shared" si="173"/>
        <v>3.9644396651962739E-2</v>
      </c>
      <c r="AF46" s="221"/>
      <c r="AG46" s="211">
        <v>-72.667946999999998</v>
      </c>
      <c r="AH46" s="242">
        <f t="shared" si="174"/>
        <v>0.94586802335656972</v>
      </c>
      <c r="AI46" s="242">
        <f t="shared" si="66"/>
        <v>1.2686759361433964</v>
      </c>
      <c r="AJ46" s="242">
        <f t="shared" si="67"/>
        <v>3.6299026842009683</v>
      </c>
      <c r="AK46" s="242">
        <f t="shared" si="68"/>
        <v>1.4953542751452116</v>
      </c>
      <c r="AL46" s="242">
        <f t="shared" si="69"/>
        <v>1.1934708379765755</v>
      </c>
      <c r="AM46" s="213">
        <v>0.80099999904600006</v>
      </c>
      <c r="AN46" s="212">
        <v>0.99999780513674796</v>
      </c>
      <c r="AO46" s="212">
        <v>0.81543422351499695</v>
      </c>
      <c r="AP46" s="212">
        <v>0.60995760758808104</v>
      </c>
      <c r="AQ46" s="484">
        <f t="shared" si="70"/>
        <v>1.8009999990460002</v>
      </c>
      <c r="AR46" s="247" t="str">
        <f t="shared" si="187"/>
        <v>possible if water clarity improves</v>
      </c>
      <c r="AS46" s="221"/>
      <c r="AT46" s="197">
        <v>130704000</v>
      </c>
      <c r="AU46" s="197">
        <v>0</v>
      </c>
      <c r="AV46" s="197">
        <v>0</v>
      </c>
      <c r="AW46" s="197">
        <v>25548.925466035325</v>
      </c>
      <c r="AX46" s="197">
        <v>13155.418933660358</v>
      </c>
      <c r="AY46" s="197">
        <v>8068.3391727654434</v>
      </c>
      <c r="AZ46" s="197">
        <v>1457.9496000000001</v>
      </c>
      <c r="BA46" s="214"/>
      <c r="BB46" s="197">
        <v>48230.633172461123</v>
      </c>
      <c r="BC46" s="241">
        <f t="shared" si="175"/>
        <v>48230.633172461123</v>
      </c>
      <c r="BD46" s="241">
        <f t="shared" si="176"/>
        <v>264.64911090183705</v>
      </c>
      <c r="BE46" s="241">
        <f t="shared" si="177"/>
        <v>48230.633172461123</v>
      </c>
      <c r="BF46" s="241">
        <f t="shared" si="86"/>
        <v>264.64911090183705</v>
      </c>
      <c r="BG46" s="248">
        <f t="shared" si="178"/>
        <v>0</v>
      </c>
      <c r="BH46" s="221"/>
      <c r="BI46" s="213">
        <f t="shared" si="71"/>
        <v>1318.039</v>
      </c>
      <c r="BJ46" s="197">
        <v>5272156</v>
      </c>
      <c r="BK46" s="213">
        <v>0</v>
      </c>
      <c r="BL46" s="197">
        <f t="shared" si="82"/>
        <v>0</v>
      </c>
      <c r="BM46" s="197"/>
      <c r="BN46" s="221"/>
      <c r="BO46" s="241">
        <f t="shared" si="179"/>
        <v>182.24369999999999</v>
      </c>
      <c r="BP46" s="241">
        <f t="shared" si="180"/>
        <v>36.242509010306527</v>
      </c>
      <c r="BQ46" s="242">
        <f t="shared" si="119"/>
        <v>2.6</v>
      </c>
      <c r="BR46" s="241">
        <f t="shared" si="181"/>
        <v>0</v>
      </c>
      <c r="BS46" s="244">
        <f t="shared" si="182"/>
        <v>3.8314047771024387E-2</v>
      </c>
      <c r="BT46" s="242">
        <f t="shared" si="183"/>
        <v>1.8961690214522566</v>
      </c>
      <c r="BU46" s="241">
        <f t="shared" si="184"/>
        <v>0</v>
      </c>
      <c r="BV46" s="221"/>
      <c r="CI46" s="221"/>
      <c r="CJ46" s="303" t="str">
        <f t="shared" si="120"/>
        <v>intermediate complexity hydrodynamics</v>
      </c>
      <c r="CK46" s="304">
        <f t="shared" si="121"/>
        <v>2</v>
      </c>
      <c r="CL46" s="303" t="str">
        <f t="shared" si="122"/>
        <v>intermediate complexity water quality</v>
      </c>
      <c r="CM46" s="304">
        <f t="shared" si="123"/>
        <v>2</v>
      </c>
      <c r="CN46" s="303" t="str">
        <f t="shared" si="124"/>
        <v>shallow</v>
      </c>
      <c r="CO46" s="304">
        <f t="shared" si="125"/>
        <v>1</v>
      </c>
      <c r="CP46" s="303" t="str">
        <f t="shared" si="126"/>
        <v>mid-size</v>
      </c>
      <c r="CQ46" s="304">
        <f t="shared" si="127"/>
        <v>4</v>
      </c>
      <c r="CR46" s="303" t="str">
        <f t="shared" si="128"/>
        <v>moderate</v>
      </c>
      <c r="CS46" s="304">
        <f t="shared" si="129"/>
        <v>3</v>
      </c>
      <c r="CT46" s="303" t="str">
        <f t="shared" si="130"/>
        <v>none</v>
      </c>
      <c r="CU46" s="304">
        <f t="shared" si="131"/>
        <v>1</v>
      </c>
      <c r="CV46" s="304">
        <f t="shared" si="132"/>
        <v>114</v>
      </c>
      <c r="CW46" s="304" t="str">
        <f t="shared" si="133"/>
        <v>intermediate complexity hydrodynamics</v>
      </c>
      <c r="CX46" s="304">
        <f t="shared" si="188"/>
        <v>70</v>
      </c>
      <c r="CY46" s="304" t="str">
        <f t="shared" si="134"/>
        <v>intermediate complexity water quality</v>
      </c>
      <c r="CZ46" s="216" t="s">
        <v>402</v>
      </c>
      <c r="DA46" s="252" t="str">
        <f t="shared" si="185"/>
        <v>-</v>
      </c>
      <c r="DB46" s="251" t="str">
        <f t="shared" si="186"/>
        <v>intermediate complexity hydrodynamics; intermediate complexity water quality</v>
      </c>
      <c r="DC46" s="227"/>
      <c r="DD46" s="475" t="str">
        <f t="shared" si="73"/>
        <v>Guilford Harbor</v>
      </c>
      <c r="DE46" s="475">
        <f t="shared" si="74"/>
        <v>39</v>
      </c>
      <c r="DF46" s="465">
        <f t="shared" si="135"/>
        <v>130.69999999999999</v>
      </c>
      <c r="DG46" s="466">
        <f t="shared" si="136"/>
        <v>1.82</v>
      </c>
      <c r="DH46" s="465">
        <f t="shared" si="137"/>
        <v>8.1300000000000008</v>
      </c>
      <c r="DI46" s="465">
        <f t="shared" si="138"/>
        <v>224.2</v>
      </c>
      <c r="DJ46" s="465">
        <f t="shared" si="139"/>
        <v>36</v>
      </c>
      <c r="DK46" s="465">
        <f t="shared" si="140"/>
        <v>1</v>
      </c>
      <c r="DL46" s="465">
        <f t="shared" si="141"/>
        <v>1</v>
      </c>
      <c r="DM46" s="465">
        <f t="shared" si="142"/>
        <v>2.6</v>
      </c>
      <c r="DN46" s="465">
        <f t="shared" si="143"/>
        <v>37</v>
      </c>
      <c r="DO46" s="465">
        <f t="shared" si="144"/>
        <v>394042</v>
      </c>
      <c r="DP46" s="465">
        <f t="shared" si="145"/>
        <v>2919544</v>
      </c>
      <c r="DQ46" s="467">
        <f t="shared" si="146"/>
        <v>1.6</v>
      </c>
      <c r="DR46" s="467">
        <f t="shared" si="147"/>
        <v>0</v>
      </c>
      <c r="DS46" s="467">
        <f t="shared" si="148"/>
        <v>223719</v>
      </c>
      <c r="DT46" s="467">
        <f t="shared" si="149"/>
        <v>1.8</v>
      </c>
      <c r="DU46" s="467">
        <f t="shared" si="150"/>
        <v>0.1</v>
      </c>
      <c r="DV46" s="467">
        <f t="shared" si="151"/>
        <v>1318.04</v>
      </c>
      <c r="DW46" s="467">
        <f t="shared" si="152"/>
        <v>0</v>
      </c>
      <c r="DX46" s="467">
        <f t="shared" si="153"/>
        <v>100</v>
      </c>
      <c r="DY46" s="467">
        <f t="shared" si="154"/>
        <v>82</v>
      </c>
      <c r="DZ46" s="467">
        <f t="shared" si="155"/>
        <v>61</v>
      </c>
      <c r="EA46" s="467">
        <f t="shared" si="156"/>
        <v>48231</v>
      </c>
      <c r="EB46" s="467">
        <f t="shared" si="157"/>
        <v>265</v>
      </c>
      <c r="EC46" s="467">
        <f t="shared" si="158"/>
        <v>0</v>
      </c>
      <c r="ED46" s="467">
        <f t="shared" si="159"/>
        <v>3.8309999999999997E-2</v>
      </c>
      <c r="EE46" s="467">
        <f t="shared" si="160"/>
        <v>1.9</v>
      </c>
      <c r="EF46" s="138">
        <f t="shared" si="75"/>
        <v>1.8</v>
      </c>
      <c r="EG46" s="138" t="str">
        <f t="shared" si="76"/>
        <v>possible if water clarity improves</v>
      </c>
      <c r="EH46" s="138">
        <f t="shared" si="77"/>
        <v>3.63</v>
      </c>
      <c r="EI46" s="138">
        <f t="shared" si="78"/>
        <v>1.5</v>
      </c>
      <c r="EJ46" s="138">
        <f t="shared" si="79"/>
        <v>1.19</v>
      </c>
    </row>
    <row r="47" spans="1:140" ht="44" customHeight="1" x14ac:dyDescent="0.35">
      <c r="A47" s="388">
        <v>40</v>
      </c>
      <c r="B47" s="215" t="s">
        <v>440</v>
      </c>
      <c r="C47" s="210">
        <v>40</v>
      </c>
      <c r="D47" s="196"/>
      <c r="E47" s="221"/>
      <c r="F47" s="197">
        <v>242575</v>
      </c>
      <c r="G47" s="197">
        <v>632.49789999999996</v>
      </c>
      <c r="H47" s="241">
        <f t="shared" si="60"/>
        <v>383.51905990517918</v>
      </c>
      <c r="I47" s="241">
        <f t="shared" si="61"/>
        <v>1.649195479766711</v>
      </c>
      <c r="J47" s="212">
        <v>0.43511491291353188</v>
      </c>
      <c r="K47" s="213">
        <v>1.2112744512006599</v>
      </c>
      <c r="L47" s="213">
        <v>1.25</v>
      </c>
      <c r="M47" s="213">
        <v>2</v>
      </c>
      <c r="N47" s="241">
        <f t="shared" si="161"/>
        <v>98697.563499475218</v>
      </c>
      <c r="O47" s="221"/>
      <c r="P47" s="241">
        <f t="shared" si="62"/>
        <v>2890.0512950533603</v>
      </c>
      <c r="Q47" s="241">
        <f t="shared" si="162"/>
        <v>2890.0512950533603</v>
      </c>
      <c r="R47" s="242">
        <f t="shared" si="163"/>
        <v>1.6088000535960001</v>
      </c>
      <c r="S47" s="213">
        <v>0.80440002679800005</v>
      </c>
      <c r="T47" s="241">
        <f t="shared" si="164"/>
        <v>390254.67300104973</v>
      </c>
      <c r="U47" s="197">
        <v>0</v>
      </c>
      <c r="V47" s="243">
        <f t="shared" si="165"/>
        <v>0.58859142023792099</v>
      </c>
      <c r="W47" s="243">
        <f t="shared" si="166"/>
        <v>1.8376133981848104</v>
      </c>
      <c r="X47" s="241">
        <f t="shared" si="167"/>
        <v>780509.34600209945</v>
      </c>
      <c r="Y47" s="242">
        <f t="shared" si="168"/>
        <v>0.25290552638484287</v>
      </c>
      <c r="Z47" s="243">
        <f t="shared" si="169"/>
        <v>34.15079990739504</v>
      </c>
      <c r="AA47" s="243">
        <f t="shared" si="170"/>
        <v>3.7027760267787833E-3</v>
      </c>
      <c r="AB47" s="245">
        <f t="shared" si="171"/>
        <v>4.8933783785321565E-3</v>
      </c>
      <c r="AC47" s="245">
        <f t="shared" si="65"/>
        <v>4.4051439092749494</v>
      </c>
      <c r="AD47" s="245">
        <f t="shared" si="172"/>
        <v>3.954045663985664</v>
      </c>
      <c r="AE47" s="245">
        <f t="shared" si="173"/>
        <v>3.8313446388197133E-3</v>
      </c>
      <c r="AF47" s="221"/>
      <c r="AG47" s="211">
        <v>-72.681748999999996</v>
      </c>
      <c r="AH47" s="242">
        <f t="shared" si="174"/>
        <v>0.9427487851210985</v>
      </c>
      <c r="AI47" s="242">
        <f t="shared" si="66"/>
        <v>1.27287355755739</v>
      </c>
      <c r="AJ47" s="242">
        <f t="shared" si="67"/>
        <v>3.6179321650968133</v>
      </c>
      <c r="AK47" s="242">
        <f t="shared" si="68"/>
        <v>1.4904229674834344</v>
      </c>
      <c r="AL47" s="242">
        <f t="shared" si="69"/>
        <v>1.189535067045737</v>
      </c>
      <c r="AM47" s="213">
        <v>0.80440002679800005</v>
      </c>
      <c r="AN47" s="212">
        <v>1.0000206121818001</v>
      </c>
      <c r="AO47" s="212">
        <v>0.56490569926826795</v>
      </c>
      <c r="AP47" s="212">
        <v>0.48420488508708698</v>
      </c>
      <c r="AQ47" s="484">
        <f t="shared" si="70"/>
        <v>1.804400026798</v>
      </c>
      <c r="AR47" s="247" t="str">
        <f t="shared" si="187"/>
        <v>possible if water clarity improves</v>
      </c>
      <c r="AS47" s="221"/>
      <c r="AT47" s="197">
        <v>1615893</v>
      </c>
      <c r="AU47" s="197">
        <v>0</v>
      </c>
      <c r="AV47" s="197">
        <v>0</v>
      </c>
      <c r="AW47" s="197">
        <v>901.61535641609976</v>
      </c>
      <c r="AX47" s="197">
        <v>151.05990621642357</v>
      </c>
      <c r="AY47" s="197">
        <v>152.48116782596543</v>
      </c>
      <c r="AZ47" s="197">
        <v>194.06</v>
      </c>
      <c r="BA47" s="214"/>
      <c r="BB47" s="197">
        <v>1399.2164304584887</v>
      </c>
      <c r="BC47" s="241">
        <f t="shared" si="175"/>
        <v>1399.2164304584887</v>
      </c>
      <c r="BD47" s="241">
        <f t="shared" si="176"/>
        <v>57.681806882757449</v>
      </c>
      <c r="BE47" s="241">
        <f t="shared" si="177"/>
        <v>1399.2164304584887</v>
      </c>
      <c r="BF47" s="241">
        <f t="shared" si="86"/>
        <v>57.681806882757449</v>
      </c>
      <c r="BG47" s="248">
        <f t="shared" si="178"/>
        <v>0</v>
      </c>
      <c r="BH47" s="221"/>
      <c r="BI47" s="213">
        <f t="shared" si="71"/>
        <v>37.393625</v>
      </c>
      <c r="BJ47" s="197">
        <v>149574.5</v>
      </c>
      <c r="BK47" s="213">
        <v>0</v>
      </c>
      <c r="BL47" s="197">
        <f t="shared" si="82"/>
        <v>0</v>
      </c>
      <c r="BM47" s="197"/>
      <c r="BN47" s="221"/>
      <c r="BO47" s="241">
        <f t="shared" si="179"/>
        <v>24.2575</v>
      </c>
      <c r="BP47" s="241">
        <f t="shared" si="180"/>
        <v>1.649195479766711</v>
      </c>
      <c r="BQ47" s="242">
        <f t="shared" si="119"/>
        <v>2</v>
      </c>
      <c r="BR47" s="241">
        <f t="shared" si="181"/>
        <v>0</v>
      </c>
      <c r="BS47" s="244">
        <f t="shared" si="182"/>
        <v>3.7027760267787833E-3</v>
      </c>
      <c r="BT47" s="242">
        <f t="shared" si="183"/>
        <v>4.4051439092749494</v>
      </c>
      <c r="BU47" s="241">
        <f t="shared" si="184"/>
        <v>0</v>
      </c>
      <c r="BV47" s="221"/>
      <c r="CI47" s="221"/>
      <c r="CJ47" s="303" t="str">
        <f t="shared" si="120"/>
        <v>intermediate complexity hydrodynamics</v>
      </c>
      <c r="CK47" s="304">
        <f t="shared" si="121"/>
        <v>2</v>
      </c>
      <c r="CL47" s="303" t="str">
        <f t="shared" si="122"/>
        <v>intermediate or complex water quality</v>
      </c>
      <c r="CM47" s="304">
        <f t="shared" si="123"/>
        <v>3</v>
      </c>
      <c r="CN47" s="303" t="str">
        <f t="shared" si="124"/>
        <v>shallow</v>
      </c>
      <c r="CO47" s="304">
        <f t="shared" si="125"/>
        <v>1</v>
      </c>
      <c r="CP47" s="303" t="str">
        <f t="shared" si="126"/>
        <v>small</v>
      </c>
      <c r="CQ47" s="304">
        <f t="shared" si="127"/>
        <v>3</v>
      </c>
      <c r="CR47" s="303" t="str">
        <f t="shared" si="128"/>
        <v>very low</v>
      </c>
      <c r="CS47" s="304">
        <f t="shared" si="129"/>
        <v>1</v>
      </c>
      <c r="CT47" s="303" t="str">
        <f t="shared" si="130"/>
        <v>none</v>
      </c>
      <c r="CU47" s="304">
        <f t="shared" si="131"/>
        <v>1</v>
      </c>
      <c r="CV47" s="304">
        <f t="shared" si="132"/>
        <v>112</v>
      </c>
      <c r="CW47" s="304" t="str">
        <f t="shared" si="133"/>
        <v>intermediate complexity hydrodynamics</v>
      </c>
      <c r="CX47" s="304">
        <f t="shared" si="188"/>
        <v>79</v>
      </c>
      <c r="CY47" s="304" t="str">
        <f t="shared" si="134"/>
        <v>intermediate complexity water quality</v>
      </c>
      <c r="CZ47" s="216" t="s">
        <v>402</v>
      </c>
      <c r="DA47" s="252" t="str">
        <f t="shared" si="185"/>
        <v>-</v>
      </c>
      <c r="DB47" s="251" t="str">
        <f t="shared" si="186"/>
        <v>intermediate complexity hydrodynamics; intermediate complexity water quality</v>
      </c>
      <c r="DC47" s="227"/>
      <c r="DD47" s="475" t="str">
        <f t="shared" si="73"/>
        <v>Indian Cove</v>
      </c>
      <c r="DE47" s="475">
        <f t="shared" si="74"/>
        <v>40</v>
      </c>
      <c r="DF47" s="465">
        <f t="shared" si="135"/>
        <v>1.62</v>
      </c>
      <c r="DG47" s="466">
        <f t="shared" si="136"/>
        <v>0.24</v>
      </c>
      <c r="DH47" s="465">
        <f t="shared" si="137"/>
        <v>0.63</v>
      </c>
      <c r="DI47" s="465">
        <f t="shared" si="138"/>
        <v>383.5</v>
      </c>
      <c r="DJ47" s="465">
        <f t="shared" si="139"/>
        <v>2</v>
      </c>
      <c r="DK47" s="465">
        <f t="shared" si="140"/>
        <v>1.2</v>
      </c>
      <c r="DL47" s="465">
        <f t="shared" si="141"/>
        <v>1.3</v>
      </c>
      <c r="DM47" s="465">
        <f t="shared" si="142"/>
        <v>2</v>
      </c>
      <c r="DN47" s="465">
        <f t="shared" si="143"/>
        <v>44</v>
      </c>
      <c r="DO47" s="465">
        <f t="shared" si="144"/>
        <v>98698</v>
      </c>
      <c r="DP47" s="465">
        <f t="shared" si="145"/>
        <v>390255</v>
      </c>
      <c r="DQ47" s="467">
        <f t="shared" si="146"/>
        <v>1.61</v>
      </c>
      <c r="DR47" s="467">
        <f t="shared" si="147"/>
        <v>0</v>
      </c>
      <c r="DS47" s="467">
        <f t="shared" si="148"/>
        <v>2890</v>
      </c>
      <c r="DT47" s="467">
        <f t="shared" si="149"/>
        <v>34.200000000000003</v>
      </c>
      <c r="DU47" s="467">
        <f t="shared" si="150"/>
        <v>0.3</v>
      </c>
      <c r="DV47" s="467">
        <f t="shared" si="151"/>
        <v>37.39</v>
      </c>
      <c r="DW47" s="467">
        <f t="shared" si="152"/>
        <v>0</v>
      </c>
      <c r="DX47" s="467">
        <f t="shared" si="153"/>
        <v>100</v>
      </c>
      <c r="DY47" s="467">
        <f t="shared" si="154"/>
        <v>56</v>
      </c>
      <c r="DZ47" s="467">
        <f t="shared" si="155"/>
        <v>48</v>
      </c>
      <c r="EA47" s="467">
        <f t="shared" si="156"/>
        <v>1399</v>
      </c>
      <c r="EB47" s="467">
        <f t="shared" si="157"/>
        <v>58</v>
      </c>
      <c r="EC47" s="467">
        <f t="shared" si="158"/>
        <v>0</v>
      </c>
      <c r="ED47" s="467">
        <f t="shared" si="159"/>
        <v>3.7000000000000002E-3</v>
      </c>
      <c r="EE47" s="467">
        <f t="shared" si="160"/>
        <v>4.41</v>
      </c>
      <c r="EF47" s="138">
        <f t="shared" si="75"/>
        <v>1.8</v>
      </c>
      <c r="EG47" s="138" t="str">
        <f t="shared" si="76"/>
        <v>possible if water clarity improves</v>
      </c>
      <c r="EH47" s="138">
        <f t="shared" si="77"/>
        <v>3.62</v>
      </c>
      <c r="EI47" s="138">
        <f t="shared" si="78"/>
        <v>1.49</v>
      </c>
      <c r="EJ47" s="138">
        <f t="shared" si="79"/>
        <v>1.19</v>
      </c>
    </row>
    <row r="48" spans="1:140" ht="44" customHeight="1" x14ac:dyDescent="0.35">
      <c r="A48" s="388">
        <v>41</v>
      </c>
      <c r="B48" s="215" t="s">
        <v>441</v>
      </c>
      <c r="C48" s="210">
        <v>41</v>
      </c>
      <c r="D48" s="196"/>
      <c r="E48" s="221"/>
      <c r="F48" s="197">
        <v>131008</v>
      </c>
      <c r="G48" s="197">
        <v>633.41989999999998</v>
      </c>
      <c r="H48" s="241">
        <f t="shared" si="60"/>
        <v>206.82646692975703</v>
      </c>
      <c r="I48" s="241">
        <f t="shared" si="61"/>
        <v>3.0625669403090647</v>
      </c>
      <c r="J48" s="212">
        <v>0.37248870297997067</v>
      </c>
      <c r="K48" s="213">
        <v>1.4130642403517299</v>
      </c>
      <c r="L48" s="213">
        <v>1.05</v>
      </c>
      <c r="M48" s="213">
        <v>3.85</v>
      </c>
      <c r="N48" s="241">
        <f t="shared" si="161"/>
        <v>73621.807589287942</v>
      </c>
      <c r="O48" s="221"/>
      <c r="P48" s="241">
        <f t="shared" si="62"/>
        <v>920.48104501695173</v>
      </c>
      <c r="Q48" s="241">
        <f t="shared" si="162"/>
        <v>920.48104501695173</v>
      </c>
      <c r="R48" s="242">
        <f t="shared" si="163"/>
        <v>1.702200055122</v>
      </c>
      <c r="S48" s="213">
        <v>0.85110002756100001</v>
      </c>
      <c r="T48" s="241">
        <f t="shared" si="164"/>
        <v>223001.82482142298</v>
      </c>
      <c r="U48" s="197">
        <v>0</v>
      </c>
      <c r="V48" s="243">
        <f t="shared" si="165"/>
        <v>0.57743263204563455</v>
      </c>
      <c r="W48" s="243">
        <f t="shared" si="166"/>
        <v>1.8039148368523821</v>
      </c>
      <c r="X48" s="241">
        <f t="shared" si="167"/>
        <v>446003.64964284596</v>
      </c>
      <c r="Y48" s="242">
        <f t="shared" si="168"/>
        <v>0.33013993337607594</v>
      </c>
      <c r="Z48" s="243">
        <f t="shared" si="169"/>
        <v>79.981883372657734</v>
      </c>
      <c r="AA48" s="243">
        <f t="shared" si="170"/>
        <v>2.0638419567957822E-3</v>
      </c>
      <c r="AB48" s="245">
        <f t="shared" si="171"/>
        <v>3.9770724257570207E-3</v>
      </c>
      <c r="AC48" s="245">
        <f t="shared" si="65"/>
        <v>6.4234124334010287</v>
      </c>
      <c r="AD48" s="245">
        <f t="shared" si="172"/>
        <v>3.0290186036381699</v>
      </c>
      <c r="AE48" s="245">
        <f t="shared" si="173"/>
        <v>2.1355031358511914E-3</v>
      </c>
      <c r="AF48" s="221"/>
      <c r="AG48" s="211">
        <v>-72.711263000000002</v>
      </c>
      <c r="AH48" s="242">
        <f t="shared" si="174"/>
        <v>0.93592272728856285</v>
      </c>
      <c r="AI48" s="242">
        <f t="shared" si="66"/>
        <v>1.282157132220187</v>
      </c>
      <c r="AJ48" s="242">
        <f t="shared" si="67"/>
        <v>3.5917362000816273</v>
      </c>
      <c r="AK48" s="242">
        <f t="shared" si="68"/>
        <v>1.4796314252066927</v>
      </c>
      <c r="AL48" s="242">
        <f t="shared" si="69"/>
        <v>1.1809221308217563</v>
      </c>
      <c r="AM48" s="213">
        <v>0.85110002756100001</v>
      </c>
      <c r="AN48" s="212">
        <v>0.92554805813385499</v>
      </c>
      <c r="AO48" s="212">
        <v>0.70205483634587196</v>
      </c>
      <c r="AP48" s="212">
        <v>0.57654341719589597</v>
      </c>
      <c r="AQ48" s="484">
        <f t="shared" si="70"/>
        <v>1.8511000275609999</v>
      </c>
      <c r="AR48" s="247" t="str">
        <f t="shared" si="187"/>
        <v>possible if water clarity improves</v>
      </c>
      <c r="AS48" s="221"/>
      <c r="AT48" s="197">
        <v>508748.1</v>
      </c>
      <c r="AU48" s="197">
        <v>0</v>
      </c>
      <c r="AV48" s="197">
        <v>0</v>
      </c>
      <c r="AW48" s="197">
        <v>283.56467907801562</v>
      </c>
      <c r="AX48" s="197">
        <v>207.41346917118483</v>
      </c>
      <c r="AY48" s="197">
        <v>52.984569096705926</v>
      </c>
      <c r="AZ48" s="197">
        <v>104.80640000000001</v>
      </c>
      <c r="BA48" s="214"/>
      <c r="BB48" s="197">
        <v>648.76911734590635</v>
      </c>
      <c r="BC48" s="241">
        <f t="shared" si="175"/>
        <v>648.76911734590635</v>
      </c>
      <c r="BD48" s="241">
        <f t="shared" si="176"/>
        <v>49.521335899021921</v>
      </c>
      <c r="BE48" s="241">
        <f t="shared" si="177"/>
        <v>648.76911734590635</v>
      </c>
      <c r="BF48" s="241">
        <f t="shared" si="86"/>
        <v>49.521335899021921</v>
      </c>
      <c r="BG48" s="248">
        <f t="shared" si="178"/>
        <v>0</v>
      </c>
      <c r="BH48" s="221"/>
      <c r="BI48" s="213">
        <f t="shared" si="71"/>
        <v>5.8141125000000002</v>
      </c>
      <c r="BJ48" s="197">
        <v>23256.45</v>
      </c>
      <c r="BK48" s="213">
        <v>0</v>
      </c>
      <c r="BL48" s="197">
        <f t="shared" si="82"/>
        <v>0</v>
      </c>
      <c r="BM48" s="197"/>
      <c r="BN48" s="221"/>
      <c r="BO48" s="241">
        <f t="shared" si="179"/>
        <v>13.1008</v>
      </c>
      <c r="BP48" s="241">
        <f t="shared" si="180"/>
        <v>3.0625669403090647</v>
      </c>
      <c r="BQ48" s="242">
        <f t="shared" si="119"/>
        <v>3.85</v>
      </c>
      <c r="BR48" s="241">
        <f t="shared" si="181"/>
        <v>0</v>
      </c>
      <c r="BS48" s="244">
        <f t="shared" si="182"/>
        <v>2.0638419567957822E-3</v>
      </c>
      <c r="BT48" s="242">
        <f t="shared" si="183"/>
        <v>6.4234124334010287</v>
      </c>
      <c r="BU48" s="241">
        <f t="shared" si="184"/>
        <v>0</v>
      </c>
      <c r="BV48" s="221"/>
      <c r="CI48" s="221"/>
      <c r="CJ48" s="303" t="str">
        <f t="shared" si="120"/>
        <v>simple complexity hydrodynamics</v>
      </c>
      <c r="CK48" s="304">
        <f t="shared" si="121"/>
        <v>1</v>
      </c>
      <c r="CL48" s="303" t="str">
        <f t="shared" si="122"/>
        <v>complex water quality</v>
      </c>
      <c r="CM48" s="304">
        <f t="shared" si="123"/>
        <v>4</v>
      </c>
      <c r="CN48" s="303" t="str">
        <f t="shared" si="124"/>
        <v>moderate</v>
      </c>
      <c r="CO48" s="304">
        <f t="shared" si="125"/>
        <v>2</v>
      </c>
      <c r="CP48" s="303" t="str">
        <f t="shared" si="126"/>
        <v>very small</v>
      </c>
      <c r="CQ48" s="304">
        <f t="shared" si="127"/>
        <v>2</v>
      </c>
      <c r="CR48" s="303" t="str">
        <f t="shared" si="128"/>
        <v>very low</v>
      </c>
      <c r="CS48" s="304">
        <f t="shared" si="129"/>
        <v>1</v>
      </c>
      <c r="CT48" s="303" t="str">
        <f t="shared" si="130"/>
        <v>none</v>
      </c>
      <c r="CU48" s="304">
        <f t="shared" si="131"/>
        <v>1</v>
      </c>
      <c r="CV48" s="304">
        <f t="shared" si="132"/>
        <v>102</v>
      </c>
      <c r="CW48" s="304" t="str">
        <f t="shared" si="133"/>
        <v>intermediate complexity hydrodynamics</v>
      </c>
      <c r="CX48" s="304">
        <f t="shared" si="188"/>
        <v>110</v>
      </c>
      <c r="CY48" s="304" t="str">
        <f t="shared" si="134"/>
        <v>intermediate complexity water quality</v>
      </c>
      <c r="CZ48" s="216" t="s">
        <v>632</v>
      </c>
      <c r="DA48" s="252" t="str">
        <f t="shared" si="185"/>
        <v>-</v>
      </c>
      <c r="DB48" s="251" t="str">
        <f t="shared" si="186"/>
        <v>intermediate complexity hydrodynamics; intermediate complexity water quality</v>
      </c>
      <c r="DC48" s="227"/>
      <c r="DD48" s="475" t="str">
        <f t="shared" si="73"/>
        <v>Sachem Head Harbor</v>
      </c>
      <c r="DE48" s="475">
        <f t="shared" si="74"/>
        <v>41</v>
      </c>
      <c r="DF48" s="465">
        <f t="shared" si="135"/>
        <v>0.51</v>
      </c>
      <c r="DG48" s="466">
        <f t="shared" si="136"/>
        <v>0.13</v>
      </c>
      <c r="DH48" s="465">
        <f t="shared" si="137"/>
        <v>0.63</v>
      </c>
      <c r="DI48" s="465">
        <f t="shared" si="138"/>
        <v>206.8</v>
      </c>
      <c r="DJ48" s="465">
        <f t="shared" si="139"/>
        <v>3</v>
      </c>
      <c r="DK48" s="465">
        <f t="shared" si="140"/>
        <v>1.4</v>
      </c>
      <c r="DL48" s="465">
        <f t="shared" si="141"/>
        <v>1.1000000000000001</v>
      </c>
      <c r="DM48" s="465">
        <f t="shared" si="142"/>
        <v>3.9</v>
      </c>
      <c r="DN48" s="465">
        <f t="shared" si="143"/>
        <v>37</v>
      </c>
      <c r="DO48" s="465">
        <f t="shared" si="144"/>
        <v>73622</v>
      </c>
      <c r="DP48" s="465">
        <f t="shared" si="145"/>
        <v>223002</v>
      </c>
      <c r="DQ48" s="467">
        <f t="shared" si="146"/>
        <v>1.7</v>
      </c>
      <c r="DR48" s="467">
        <f t="shared" si="147"/>
        <v>0</v>
      </c>
      <c r="DS48" s="467">
        <f t="shared" si="148"/>
        <v>920</v>
      </c>
      <c r="DT48" s="467">
        <f t="shared" si="149"/>
        <v>80</v>
      </c>
      <c r="DU48" s="467">
        <f t="shared" si="150"/>
        <v>0.3</v>
      </c>
      <c r="DV48" s="467">
        <f t="shared" si="151"/>
        <v>5.81</v>
      </c>
      <c r="DW48" s="467">
        <f t="shared" si="152"/>
        <v>0</v>
      </c>
      <c r="DX48" s="467">
        <f t="shared" si="153"/>
        <v>93</v>
      </c>
      <c r="DY48" s="467">
        <f t="shared" si="154"/>
        <v>70</v>
      </c>
      <c r="DZ48" s="467">
        <f t="shared" si="155"/>
        <v>58</v>
      </c>
      <c r="EA48" s="467">
        <f t="shared" si="156"/>
        <v>649</v>
      </c>
      <c r="EB48" s="467">
        <f t="shared" si="157"/>
        <v>50</v>
      </c>
      <c r="EC48" s="467">
        <f t="shared" si="158"/>
        <v>0</v>
      </c>
      <c r="ED48" s="467">
        <f t="shared" si="159"/>
        <v>2.0600000000000002E-3</v>
      </c>
      <c r="EE48" s="467">
        <f t="shared" si="160"/>
        <v>6.42</v>
      </c>
      <c r="EF48" s="138">
        <f t="shared" si="75"/>
        <v>1.85</v>
      </c>
      <c r="EG48" s="138" t="str">
        <f t="shared" si="76"/>
        <v>possible if water clarity improves</v>
      </c>
      <c r="EH48" s="138">
        <f t="shared" si="77"/>
        <v>3.59</v>
      </c>
      <c r="EI48" s="138">
        <f t="shared" si="78"/>
        <v>1.48</v>
      </c>
      <c r="EJ48" s="138">
        <f t="shared" si="79"/>
        <v>1.18</v>
      </c>
    </row>
    <row r="49" spans="1:140" ht="44" customHeight="1" x14ac:dyDescent="0.35">
      <c r="A49" s="388">
        <v>42</v>
      </c>
      <c r="B49" s="215" t="s">
        <v>442</v>
      </c>
      <c r="C49" s="210">
        <v>42</v>
      </c>
      <c r="D49" s="196"/>
      <c r="E49" s="221"/>
      <c r="F49" s="197">
        <v>902899</v>
      </c>
      <c r="G49" s="197">
        <v>2329.7510000000002</v>
      </c>
      <c r="H49" s="241">
        <f t="shared" si="60"/>
        <v>387.55171690021808</v>
      </c>
      <c r="I49" s="241">
        <f t="shared" si="61"/>
        <v>6.0114583380876496</v>
      </c>
      <c r="J49" s="212">
        <v>0.47809887927664113</v>
      </c>
      <c r="K49" s="213">
        <v>1.50024830275334</v>
      </c>
      <c r="L49" s="213">
        <v>1.25</v>
      </c>
      <c r="M49" s="213">
        <v>3.86</v>
      </c>
      <c r="N49" s="241">
        <f t="shared" si="161"/>
        <v>580156.22879018646</v>
      </c>
      <c r="O49" s="221"/>
      <c r="P49" s="241">
        <f t="shared" si="62"/>
        <v>8415.595130179323</v>
      </c>
      <c r="Q49" s="241">
        <f t="shared" si="162"/>
        <v>8415.595130179323</v>
      </c>
      <c r="R49" s="242">
        <f t="shared" si="163"/>
        <v>1.7153999805460001</v>
      </c>
      <c r="S49" s="213">
        <v>0.85769999027300003</v>
      </c>
      <c r="T49" s="241">
        <f t="shared" si="164"/>
        <v>1548832.927035003</v>
      </c>
      <c r="U49" s="197">
        <v>1</v>
      </c>
      <c r="V49" s="243">
        <f t="shared" si="165"/>
        <v>1.9861510817299539</v>
      </c>
      <c r="W49" s="243">
        <f t="shared" si="166"/>
        <v>6.2280366849981972</v>
      </c>
      <c r="X49" s="241">
        <f t="shared" si="167"/>
        <v>3097665.8540700059</v>
      </c>
      <c r="Y49" s="242">
        <f t="shared" si="168"/>
        <v>0.37457637855156162</v>
      </c>
      <c r="Z49" s="243">
        <f t="shared" si="169"/>
        <v>68.9382295388329</v>
      </c>
      <c r="AA49" s="243">
        <f t="shared" si="170"/>
        <v>2.7167536870131162E-3</v>
      </c>
      <c r="AB49" s="245">
        <f t="shared" si="171"/>
        <v>1.7820365522729471E-3</v>
      </c>
      <c r="AC49" s="245">
        <f t="shared" si="65"/>
        <v>2.186477879575671</v>
      </c>
      <c r="AD49" s="245">
        <f t="shared" si="172"/>
        <v>2.6696824927051477</v>
      </c>
      <c r="AE49" s="245">
        <f t="shared" si="173"/>
        <v>2.8110854122566278E-3</v>
      </c>
      <c r="AF49" s="221"/>
      <c r="AG49" s="211">
        <v>-72.716069000000005</v>
      </c>
      <c r="AH49" s="242">
        <f t="shared" si="174"/>
        <v>0.93479106874416806</v>
      </c>
      <c r="AI49" s="242">
        <f t="shared" si="66"/>
        <v>1.2837093122981194</v>
      </c>
      <c r="AJ49" s="242">
        <f t="shared" si="67"/>
        <v>3.5873932999238223</v>
      </c>
      <c r="AK49" s="242">
        <f t="shared" si="68"/>
        <v>1.4778423485061607</v>
      </c>
      <c r="AL49" s="242">
        <f t="shared" si="69"/>
        <v>1.1794942345001431</v>
      </c>
      <c r="AM49" s="213">
        <v>0.85769999027300003</v>
      </c>
      <c r="AN49" s="212">
        <v>0.96322427067615601</v>
      </c>
      <c r="AO49" s="212">
        <v>0.66900957573668496</v>
      </c>
      <c r="AP49" s="212">
        <v>0.49107545634842698</v>
      </c>
      <c r="AQ49" s="484">
        <f t="shared" si="70"/>
        <v>1.857699990273</v>
      </c>
      <c r="AR49" s="247" t="str">
        <f t="shared" si="187"/>
        <v>possible if water clarity improves</v>
      </c>
      <c r="AS49" s="221"/>
      <c r="AT49" s="197">
        <v>4756424</v>
      </c>
      <c r="AU49" s="197">
        <v>0</v>
      </c>
      <c r="AV49" s="197">
        <v>0</v>
      </c>
      <c r="AW49" s="197">
        <v>550.98263964121134</v>
      </c>
      <c r="AX49" s="197">
        <v>306.6132248921848</v>
      </c>
      <c r="AY49" s="197">
        <v>440.41493250285896</v>
      </c>
      <c r="AZ49" s="197">
        <v>722.31920000000002</v>
      </c>
      <c r="BA49" s="214"/>
      <c r="BB49" s="197">
        <v>2020.329997036255</v>
      </c>
      <c r="BC49" s="241">
        <f t="shared" si="175"/>
        <v>2020.329997036255</v>
      </c>
      <c r="BD49" s="241">
        <f t="shared" si="176"/>
        <v>22.376035381989073</v>
      </c>
      <c r="BE49" s="241">
        <f t="shared" si="177"/>
        <v>2020.329997036255</v>
      </c>
      <c r="BF49" s="241">
        <f t="shared" si="86"/>
        <v>22.376035381989073</v>
      </c>
      <c r="BG49" s="248">
        <f t="shared" si="178"/>
        <v>0</v>
      </c>
      <c r="BH49" s="221"/>
      <c r="BI49" s="213">
        <f t="shared" si="71"/>
        <v>151.23970000000003</v>
      </c>
      <c r="BJ49" s="197">
        <v>604958.80000000005</v>
      </c>
      <c r="BK49" s="213">
        <v>0</v>
      </c>
      <c r="BL49" s="197">
        <f t="shared" si="82"/>
        <v>0</v>
      </c>
      <c r="BM49" s="197"/>
      <c r="BN49" s="221"/>
      <c r="BO49" s="241">
        <f t="shared" si="179"/>
        <v>90.289900000000003</v>
      </c>
      <c r="BP49" s="241">
        <f t="shared" si="180"/>
        <v>6.0114583380876496</v>
      </c>
      <c r="BQ49" s="242">
        <f t="shared" si="119"/>
        <v>3.86</v>
      </c>
      <c r="BR49" s="241">
        <f t="shared" si="181"/>
        <v>1</v>
      </c>
      <c r="BS49" s="244">
        <f t="shared" si="182"/>
        <v>2.7167536870131162E-3</v>
      </c>
      <c r="BT49" s="242">
        <f t="shared" si="183"/>
        <v>2.186477879575671</v>
      </c>
      <c r="BU49" s="241">
        <f t="shared" si="184"/>
        <v>0</v>
      </c>
      <c r="BV49" s="221"/>
      <c r="CI49" s="221"/>
      <c r="CJ49" s="303" t="str">
        <f t="shared" si="120"/>
        <v>simple complexity hydrodynamics</v>
      </c>
      <c r="CK49" s="304">
        <f t="shared" si="121"/>
        <v>1</v>
      </c>
      <c r="CL49" s="303" t="str">
        <f t="shared" si="122"/>
        <v>intermediate complexity water quality</v>
      </c>
      <c r="CM49" s="304">
        <f t="shared" si="123"/>
        <v>2</v>
      </c>
      <c r="CN49" s="303" t="str">
        <f t="shared" si="124"/>
        <v>moderate</v>
      </c>
      <c r="CO49" s="304">
        <f t="shared" si="125"/>
        <v>2</v>
      </c>
      <c r="CP49" s="303" t="str">
        <f t="shared" si="126"/>
        <v>mid-size</v>
      </c>
      <c r="CQ49" s="304">
        <f t="shared" si="127"/>
        <v>4</v>
      </c>
      <c r="CR49" s="303" t="str">
        <f t="shared" si="128"/>
        <v>very low</v>
      </c>
      <c r="CS49" s="304">
        <f t="shared" si="129"/>
        <v>1</v>
      </c>
      <c r="CT49" s="303" t="str">
        <f t="shared" si="130"/>
        <v>head</v>
      </c>
      <c r="CU49" s="304">
        <f t="shared" si="131"/>
        <v>2</v>
      </c>
      <c r="CV49" s="304">
        <f t="shared" si="132"/>
        <v>103</v>
      </c>
      <c r="CW49" s="304" t="str">
        <f t="shared" si="133"/>
        <v>intermediate complexity hydrodynamics</v>
      </c>
      <c r="CX49" s="304">
        <f t="shared" si="188"/>
        <v>89</v>
      </c>
      <c r="CY49" s="304" t="str">
        <f t="shared" si="134"/>
        <v>intermediate complexity water quality</v>
      </c>
      <c r="CZ49" s="350" t="s">
        <v>624</v>
      </c>
      <c r="DA49" s="252" t="str">
        <f t="shared" si="185"/>
        <v>-</v>
      </c>
      <c r="DB49" s="251" t="str">
        <f t="shared" si="186"/>
        <v>intermediate complexity hydrodynamics; intermediate complexity water quality</v>
      </c>
      <c r="DC49" s="227"/>
      <c r="DD49" s="475" t="str">
        <f t="shared" si="73"/>
        <v>Joshua Cove</v>
      </c>
      <c r="DE49" s="475">
        <f t="shared" si="74"/>
        <v>42</v>
      </c>
      <c r="DF49" s="465">
        <f t="shared" si="135"/>
        <v>4.76</v>
      </c>
      <c r="DG49" s="466">
        <f t="shared" si="136"/>
        <v>0.9</v>
      </c>
      <c r="DH49" s="465">
        <f t="shared" si="137"/>
        <v>2.33</v>
      </c>
      <c r="DI49" s="465">
        <f t="shared" si="138"/>
        <v>387.6</v>
      </c>
      <c r="DJ49" s="465">
        <f t="shared" si="139"/>
        <v>6</v>
      </c>
      <c r="DK49" s="465">
        <f t="shared" si="140"/>
        <v>1.5</v>
      </c>
      <c r="DL49" s="465">
        <f t="shared" si="141"/>
        <v>1.3</v>
      </c>
      <c r="DM49" s="465">
        <f t="shared" si="142"/>
        <v>3.9</v>
      </c>
      <c r="DN49" s="465">
        <f t="shared" si="143"/>
        <v>48</v>
      </c>
      <c r="DO49" s="465">
        <f t="shared" si="144"/>
        <v>580156</v>
      </c>
      <c r="DP49" s="465">
        <f t="shared" si="145"/>
        <v>1548833</v>
      </c>
      <c r="DQ49" s="467">
        <f t="shared" si="146"/>
        <v>1.72</v>
      </c>
      <c r="DR49" s="467">
        <f t="shared" si="147"/>
        <v>1</v>
      </c>
      <c r="DS49" s="467">
        <f t="shared" si="148"/>
        <v>8416</v>
      </c>
      <c r="DT49" s="467">
        <f t="shared" si="149"/>
        <v>68.900000000000006</v>
      </c>
      <c r="DU49" s="467">
        <f t="shared" si="150"/>
        <v>0.4</v>
      </c>
      <c r="DV49" s="467">
        <f t="shared" si="151"/>
        <v>151.24</v>
      </c>
      <c r="DW49" s="467">
        <f t="shared" si="152"/>
        <v>0</v>
      </c>
      <c r="DX49" s="467">
        <f t="shared" si="153"/>
        <v>96</v>
      </c>
      <c r="DY49" s="467">
        <f t="shared" si="154"/>
        <v>67</v>
      </c>
      <c r="DZ49" s="467">
        <f t="shared" si="155"/>
        <v>49</v>
      </c>
      <c r="EA49" s="467">
        <f t="shared" si="156"/>
        <v>2020</v>
      </c>
      <c r="EB49" s="467">
        <f t="shared" si="157"/>
        <v>22</v>
      </c>
      <c r="EC49" s="467">
        <f t="shared" si="158"/>
        <v>0</v>
      </c>
      <c r="ED49" s="467">
        <f t="shared" si="159"/>
        <v>2.7200000000000002E-3</v>
      </c>
      <c r="EE49" s="467">
        <f t="shared" si="160"/>
        <v>2.19</v>
      </c>
      <c r="EF49" s="138">
        <f t="shared" si="75"/>
        <v>1.86</v>
      </c>
      <c r="EG49" s="138" t="str">
        <f t="shared" si="76"/>
        <v>possible if water clarity improves</v>
      </c>
      <c r="EH49" s="138">
        <f t="shared" si="77"/>
        <v>3.59</v>
      </c>
      <c r="EI49" s="138">
        <f t="shared" si="78"/>
        <v>1.48</v>
      </c>
      <c r="EJ49" s="138">
        <f t="shared" si="79"/>
        <v>1.18</v>
      </c>
    </row>
    <row r="50" spans="1:140" ht="44" customHeight="1" x14ac:dyDescent="0.35">
      <c r="A50" s="388">
        <v>43</v>
      </c>
      <c r="B50" s="215" t="s">
        <v>443</v>
      </c>
      <c r="C50" s="210">
        <v>43</v>
      </c>
      <c r="D50" s="196"/>
      <c r="E50" s="221"/>
      <c r="F50" s="197">
        <v>316087</v>
      </c>
      <c r="G50" s="197">
        <v>773.66049999999996</v>
      </c>
      <c r="H50" s="241">
        <f t="shared" si="60"/>
        <v>408.56034397516743</v>
      </c>
      <c r="I50" s="241">
        <f t="shared" si="61"/>
        <v>1.8936260246712138</v>
      </c>
      <c r="J50" s="212">
        <v>0.40463543264987173</v>
      </c>
      <c r="K50" s="213">
        <v>1.34684438145194</v>
      </c>
      <c r="L50" s="213">
        <v>1.25</v>
      </c>
      <c r="M50" s="213">
        <v>2.79</v>
      </c>
      <c r="N50" s="241">
        <f t="shared" si="161"/>
        <v>143833.61771079386</v>
      </c>
      <c r="O50" s="221"/>
      <c r="P50" s="241">
        <f t="shared" si="62"/>
        <v>2378.4381458402408</v>
      </c>
      <c r="Q50" s="241">
        <f t="shared" si="162"/>
        <v>2378.4381458402408</v>
      </c>
      <c r="R50" s="242">
        <f t="shared" si="163"/>
        <v>1.7835999727239999</v>
      </c>
      <c r="S50" s="213">
        <v>0.89179998636199997</v>
      </c>
      <c r="T50" s="241">
        <f t="shared" si="164"/>
        <v>563772.76457841101</v>
      </c>
      <c r="U50" s="197">
        <v>0</v>
      </c>
      <c r="V50" s="243">
        <f t="shared" si="165"/>
        <v>0.71697923063921343</v>
      </c>
      <c r="W50" s="243">
        <f t="shared" si="166"/>
        <v>2.2390033139883818</v>
      </c>
      <c r="X50" s="241">
        <f t="shared" si="167"/>
        <v>1127545.529156822</v>
      </c>
      <c r="Y50" s="242">
        <f t="shared" si="168"/>
        <v>0.25512693543887771</v>
      </c>
      <c r="Z50" s="243">
        <f t="shared" si="169"/>
        <v>60.473978674766485</v>
      </c>
      <c r="AA50" s="243">
        <f t="shared" si="170"/>
        <v>2.1093943298403531E-3</v>
      </c>
      <c r="AB50" s="245">
        <f t="shared" si="171"/>
        <v>2.2658608756560266E-3</v>
      </c>
      <c r="AC50" s="245">
        <f t="shared" si="65"/>
        <v>3.5805868436612887</v>
      </c>
      <c r="AD50" s="245">
        <f t="shared" si="172"/>
        <v>3.9196174965993587</v>
      </c>
      <c r="AE50" s="245">
        <f t="shared" si="173"/>
        <v>2.1826371885153651E-3</v>
      </c>
      <c r="AF50" s="221"/>
      <c r="AG50" s="211">
        <v>-72.722592000000006</v>
      </c>
      <c r="AH50" s="242">
        <f t="shared" si="174"/>
        <v>0.93324609879590104</v>
      </c>
      <c r="AI50" s="242">
        <f t="shared" si="66"/>
        <v>1.285834466973151</v>
      </c>
      <c r="AJ50" s="242">
        <f t="shared" si="67"/>
        <v>3.5814642586371499</v>
      </c>
      <c r="AK50" s="242">
        <f t="shared" si="68"/>
        <v>1.4753998540354063</v>
      </c>
      <c r="AL50" s="242">
        <f t="shared" si="69"/>
        <v>1.1775448329628508</v>
      </c>
      <c r="AM50" s="213">
        <v>0.89179998636199997</v>
      </c>
      <c r="AN50" s="212">
        <v>1.0000094910578401</v>
      </c>
      <c r="AO50" s="212">
        <v>0.59537405840796997</v>
      </c>
      <c r="AP50" s="212">
        <v>0.47629924672637602</v>
      </c>
      <c r="AQ50" s="484">
        <f t="shared" si="70"/>
        <v>1.8917999863619999</v>
      </c>
      <c r="AR50" s="247" t="str">
        <f t="shared" si="187"/>
        <v>possible if water clarity improves</v>
      </c>
      <c r="AS50" s="221"/>
      <c r="AT50" s="197">
        <v>1327224</v>
      </c>
      <c r="AU50" s="197">
        <v>0</v>
      </c>
      <c r="AV50" s="197">
        <v>0</v>
      </c>
      <c r="AW50" s="197">
        <v>374.44370834298229</v>
      </c>
      <c r="AX50" s="197">
        <v>157.74501245247177</v>
      </c>
      <c r="AY50" s="197">
        <v>149.43311534620273</v>
      </c>
      <c r="AZ50" s="197">
        <v>252.86960000000002</v>
      </c>
      <c r="BA50" s="214"/>
      <c r="BB50" s="197">
        <v>934.49143614165678</v>
      </c>
      <c r="BC50" s="241">
        <f t="shared" si="175"/>
        <v>934.49143614165678</v>
      </c>
      <c r="BD50" s="241">
        <f t="shared" si="176"/>
        <v>29.564374243219643</v>
      </c>
      <c r="BE50" s="241">
        <f t="shared" si="177"/>
        <v>934.49143614165678</v>
      </c>
      <c r="BF50" s="241">
        <f t="shared" si="86"/>
        <v>29.564374243219643</v>
      </c>
      <c r="BG50" s="248">
        <f t="shared" si="178"/>
        <v>0</v>
      </c>
      <c r="BH50" s="221"/>
      <c r="BI50" s="213">
        <f t="shared" si="71"/>
        <v>35.087499999999999</v>
      </c>
      <c r="BJ50" s="197">
        <v>140350</v>
      </c>
      <c r="BK50" s="213">
        <v>0</v>
      </c>
      <c r="BL50" s="197">
        <f t="shared" si="82"/>
        <v>0</v>
      </c>
      <c r="BM50" s="197"/>
      <c r="BN50" s="221"/>
      <c r="BO50" s="241">
        <f t="shared" si="179"/>
        <v>31.608699999999999</v>
      </c>
      <c r="BP50" s="241">
        <f t="shared" si="180"/>
        <v>1.8936260246712138</v>
      </c>
      <c r="BQ50" s="242">
        <f t="shared" si="119"/>
        <v>2.79</v>
      </c>
      <c r="BR50" s="241">
        <f t="shared" si="181"/>
        <v>0</v>
      </c>
      <c r="BS50" s="244">
        <f t="shared" si="182"/>
        <v>2.1093943298403531E-3</v>
      </c>
      <c r="BT50" s="242">
        <f t="shared" si="183"/>
        <v>3.5805868436612887</v>
      </c>
      <c r="BU50" s="241">
        <f t="shared" si="184"/>
        <v>0</v>
      </c>
      <c r="BV50" s="221"/>
      <c r="CI50" s="221"/>
      <c r="CJ50" s="303" t="str">
        <f t="shared" si="120"/>
        <v>simple complexity hydrodynamics</v>
      </c>
      <c r="CK50" s="304">
        <f t="shared" si="121"/>
        <v>1</v>
      </c>
      <c r="CL50" s="303" t="str">
        <f t="shared" si="122"/>
        <v>intermediate or complex water quality</v>
      </c>
      <c r="CM50" s="304">
        <f t="shared" si="123"/>
        <v>3</v>
      </c>
      <c r="CN50" s="303" t="str">
        <f t="shared" si="124"/>
        <v>shallow</v>
      </c>
      <c r="CO50" s="304">
        <f t="shared" si="125"/>
        <v>1</v>
      </c>
      <c r="CP50" s="303" t="str">
        <f t="shared" si="126"/>
        <v>small</v>
      </c>
      <c r="CQ50" s="304">
        <f t="shared" si="127"/>
        <v>3</v>
      </c>
      <c r="CR50" s="303" t="str">
        <f t="shared" si="128"/>
        <v>very low</v>
      </c>
      <c r="CS50" s="304">
        <f t="shared" si="129"/>
        <v>1</v>
      </c>
      <c r="CT50" s="303" t="str">
        <f t="shared" si="130"/>
        <v>none</v>
      </c>
      <c r="CU50" s="304">
        <f t="shared" si="131"/>
        <v>1</v>
      </c>
      <c r="CV50" s="304">
        <f t="shared" si="132"/>
        <v>92</v>
      </c>
      <c r="CW50" s="304" t="str">
        <f t="shared" si="133"/>
        <v>intermediate complexity hydrodynamics</v>
      </c>
      <c r="CX50" s="304">
        <f t="shared" si="188"/>
        <v>79</v>
      </c>
      <c r="CY50" s="304" t="str">
        <f t="shared" si="134"/>
        <v>intermediate complexity water quality</v>
      </c>
      <c r="CZ50" s="216" t="s">
        <v>643</v>
      </c>
      <c r="DA50" s="252" t="str">
        <f t="shared" si="185"/>
        <v>-</v>
      </c>
      <c r="DB50" s="251" t="str">
        <f t="shared" si="186"/>
        <v>intermediate complexity hydrodynamics; intermediate complexity water quality</v>
      </c>
      <c r="DC50" s="227"/>
      <c r="DD50" s="475" t="str">
        <f t="shared" si="73"/>
        <v>Island Bay</v>
      </c>
      <c r="DE50" s="475">
        <f t="shared" si="74"/>
        <v>43</v>
      </c>
      <c r="DF50" s="465">
        <f t="shared" si="135"/>
        <v>1.33</v>
      </c>
      <c r="DG50" s="466">
        <f t="shared" si="136"/>
        <v>0.32</v>
      </c>
      <c r="DH50" s="465">
        <f t="shared" si="137"/>
        <v>0.77</v>
      </c>
      <c r="DI50" s="465">
        <f t="shared" si="138"/>
        <v>408.6</v>
      </c>
      <c r="DJ50" s="465">
        <f t="shared" si="139"/>
        <v>2</v>
      </c>
      <c r="DK50" s="465">
        <f t="shared" si="140"/>
        <v>1.3</v>
      </c>
      <c r="DL50" s="465">
        <f t="shared" si="141"/>
        <v>1.3</v>
      </c>
      <c r="DM50" s="465">
        <f t="shared" si="142"/>
        <v>2.8</v>
      </c>
      <c r="DN50" s="465">
        <f t="shared" si="143"/>
        <v>40</v>
      </c>
      <c r="DO50" s="465">
        <f t="shared" si="144"/>
        <v>143834</v>
      </c>
      <c r="DP50" s="465">
        <f t="shared" si="145"/>
        <v>563773</v>
      </c>
      <c r="DQ50" s="467">
        <f t="shared" si="146"/>
        <v>1.78</v>
      </c>
      <c r="DR50" s="467">
        <f t="shared" si="147"/>
        <v>0</v>
      </c>
      <c r="DS50" s="467">
        <f t="shared" si="148"/>
        <v>2378</v>
      </c>
      <c r="DT50" s="467">
        <f t="shared" si="149"/>
        <v>60.5</v>
      </c>
      <c r="DU50" s="467">
        <f t="shared" si="150"/>
        <v>0.3</v>
      </c>
      <c r="DV50" s="467">
        <f t="shared" si="151"/>
        <v>35.090000000000003</v>
      </c>
      <c r="DW50" s="467">
        <f t="shared" si="152"/>
        <v>0</v>
      </c>
      <c r="DX50" s="467">
        <f t="shared" si="153"/>
        <v>100</v>
      </c>
      <c r="DY50" s="467">
        <f t="shared" si="154"/>
        <v>60</v>
      </c>
      <c r="DZ50" s="467">
        <f t="shared" si="155"/>
        <v>48</v>
      </c>
      <c r="EA50" s="467">
        <f t="shared" si="156"/>
        <v>934</v>
      </c>
      <c r="EB50" s="467">
        <f t="shared" si="157"/>
        <v>30</v>
      </c>
      <c r="EC50" s="467">
        <f t="shared" si="158"/>
        <v>0</v>
      </c>
      <c r="ED50" s="467">
        <f t="shared" si="159"/>
        <v>2.1099999999999999E-3</v>
      </c>
      <c r="EE50" s="467">
        <f t="shared" si="160"/>
        <v>3.58</v>
      </c>
      <c r="EF50" s="138">
        <f t="shared" si="75"/>
        <v>1.89</v>
      </c>
      <c r="EG50" s="138" t="str">
        <f t="shared" si="76"/>
        <v>possible if water clarity improves</v>
      </c>
      <c r="EH50" s="138">
        <f t="shared" si="77"/>
        <v>3.58</v>
      </c>
      <c r="EI50" s="138">
        <f t="shared" si="78"/>
        <v>1.48</v>
      </c>
      <c r="EJ50" s="138">
        <f t="shared" si="79"/>
        <v>1.18</v>
      </c>
    </row>
    <row r="51" spans="1:140" ht="44" customHeight="1" x14ac:dyDescent="0.35">
      <c r="A51" s="388">
        <v>44</v>
      </c>
      <c r="B51" s="215" t="s">
        <v>444</v>
      </c>
      <c r="C51" s="210">
        <v>44</v>
      </c>
      <c r="D51" s="196"/>
      <c r="E51" s="221"/>
      <c r="F51" s="197">
        <v>58292</v>
      </c>
      <c r="G51" s="197">
        <v>345.77300000000002</v>
      </c>
      <c r="H51" s="241">
        <f t="shared" si="60"/>
        <v>168.58459162514134</v>
      </c>
      <c r="I51" s="241">
        <f t="shared" si="61"/>
        <v>2.0510356057263435</v>
      </c>
      <c r="J51" s="212">
        <v>0</v>
      </c>
      <c r="K51" s="213">
        <v>0.74997426748095797</v>
      </c>
      <c r="L51" s="213">
        <v>0.75</v>
      </c>
      <c r="M51" s="213">
        <v>1.7009000062940001</v>
      </c>
      <c r="N51" s="241">
        <f t="shared" si="161"/>
        <v>5829.2000000000007</v>
      </c>
      <c r="O51" s="221"/>
      <c r="P51" s="241">
        <f t="shared" si="62"/>
        <v>569.14272470660353</v>
      </c>
      <c r="Q51" s="241">
        <f t="shared" si="162"/>
        <v>569.14272470660353</v>
      </c>
      <c r="R51" s="242">
        <f t="shared" si="163"/>
        <v>1.801800012588</v>
      </c>
      <c r="S51" s="213">
        <v>0.90090000629400002</v>
      </c>
      <c r="T51" s="241">
        <f t="shared" si="164"/>
        <v>105030.52633377969</v>
      </c>
      <c r="U51" s="197">
        <v>0</v>
      </c>
      <c r="V51" s="243">
        <f t="shared" si="165"/>
        <v>0.31839401773178372</v>
      </c>
      <c r="W51" s="243">
        <f t="shared" si="166"/>
        <v>0.99411347006809592</v>
      </c>
      <c r="X51" s="241">
        <f t="shared" si="167"/>
        <v>210061.05266755939</v>
      </c>
      <c r="Y51" s="242">
        <f t="shared" si="168"/>
        <v>5.5500055112312867E-2</v>
      </c>
      <c r="Z51" s="243">
        <f t="shared" si="169"/>
        <v>10.242070656363021</v>
      </c>
      <c r="AA51" s="243">
        <f t="shared" si="170"/>
        <v>2.7094157507023607E-3</v>
      </c>
      <c r="AB51" s="245">
        <f t="shared" si="171"/>
        <v>2.3941788439000326E-3</v>
      </c>
      <c r="AC51" s="245">
        <f t="shared" si="65"/>
        <v>2.9455044484275383</v>
      </c>
      <c r="AD51" s="245">
        <f t="shared" si="172"/>
        <v>18.018000125879997</v>
      </c>
      <c r="AE51" s="245">
        <f t="shared" si="173"/>
        <v>2.8034926864906368E-3</v>
      </c>
      <c r="AF51" s="221"/>
      <c r="AG51" s="211">
        <v>-72.729802000000007</v>
      </c>
      <c r="AH51" s="242">
        <f t="shared" si="174"/>
        <v>0.93152633683562147</v>
      </c>
      <c r="AI51" s="242">
        <f t="shared" si="66"/>
        <v>1.2882083442496954</v>
      </c>
      <c r="AJ51" s="242">
        <f t="shared" si="67"/>
        <v>3.5748644282150868</v>
      </c>
      <c r="AK51" s="242">
        <f t="shared" si="68"/>
        <v>1.4726810250486622</v>
      </c>
      <c r="AL51" s="242">
        <f t="shared" si="69"/>
        <v>1.1753748835648667</v>
      </c>
      <c r="AM51" s="213">
        <v>0.90090000629400002</v>
      </c>
      <c r="AN51" s="212">
        <v>0.99996568997461099</v>
      </c>
      <c r="AO51" s="212">
        <v>0.99996568997461099</v>
      </c>
      <c r="AP51" s="212">
        <v>0.79997255197968797</v>
      </c>
      <c r="AQ51" s="484">
        <f t="shared" si="70"/>
        <v>1.900900006294</v>
      </c>
      <c r="AR51" s="247" t="str">
        <f t="shared" si="187"/>
        <v>unlikely, too shallow</v>
      </c>
      <c r="AS51" s="221"/>
      <c r="AT51" s="197">
        <v>313040.2</v>
      </c>
      <c r="AU51" s="197">
        <v>0</v>
      </c>
      <c r="AV51" s="197">
        <v>0</v>
      </c>
      <c r="AW51" s="197">
        <v>76.605260321486782</v>
      </c>
      <c r="AX51" s="197">
        <v>28.505403386666764</v>
      </c>
      <c r="AY51" s="197">
        <v>32.320256850409542</v>
      </c>
      <c r="AZ51" s="197">
        <v>46.633600000000001</v>
      </c>
      <c r="BA51" s="214"/>
      <c r="BB51" s="197">
        <v>184.06452055856309</v>
      </c>
      <c r="BC51" s="241">
        <f t="shared" si="175"/>
        <v>184.06452055856309</v>
      </c>
      <c r="BD51" s="241">
        <f t="shared" si="176"/>
        <v>31.57629186827748</v>
      </c>
      <c r="BE51" s="241">
        <f t="shared" si="177"/>
        <v>184.06452055856309</v>
      </c>
      <c r="BF51" s="241">
        <f t="shared" si="86"/>
        <v>31.57629186827748</v>
      </c>
      <c r="BG51" s="248">
        <f t="shared" si="178"/>
        <v>0</v>
      </c>
      <c r="BH51" s="221"/>
      <c r="BI51" s="213">
        <f t="shared" si="71"/>
        <v>4.9875800000000003</v>
      </c>
      <c r="BJ51" s="197">
        <v>19950.32</v>
      </c>
      <c r="BK51" s="213">
        <v>0</v>
      </c>
      <c r="BL51" s="197">
        <f t="shared" si="82"/>
        <v>0</v>
      </c>
      <c r="BM51" s="197"/>
      <c r="BN51" s="221"/>
      <c r="BO51" s="241">
        <f t="shared" si="179"/>
        <v>5.8292000000000002</v>
      </c>
      <c r="BP51" s="241">
        <f t="shared" si="180"/>
        <v>2.0510356057263435</v>
      </c>
      <c r="BQ51" s="242">
        <f t="shared" si="119"/>
        <v>1.7009000062940001</v>
      </c>
      <c r="BR51" s="241">
        <f t="shared" si="181"/>
        <v>0</v>
      </c>
      <c r="BS51" s="244">
        <f t="shared" si="182"/>
        <v>2.7094157507023607E-3</v>
      </c>
      <c r="BT51" s="242">
        <f t="shared" si="183"/>
        <v>2.9455044484275383</v>
      </c>
      <c r="BU51" s="241">
        <f t="shared" si="184"/>
        <v>0</v>
      </c>
      <c r="BV51" s="221"/>
      <c r="CI51" s="221"/>
      <c r="CJ51" s="303" t="str">
        <f t="shared" si="120"/>
        <v>simple complexity hydrodynamics</v>
      </c>
      <c r="CK51" s="304">
        <f t="shared" si="121"/>
        <v>1</v>
      </c>
      <c r="CL51" s="303" t="str">
        <f t="shared" si="122"/>
        <v>intermediate or complex water quality</v>
      </c>
      <c r="CM51" s="304">
        <f t="shared" si="123"/>
        <v>3</v>
      </c>
      <c r="CN51" s="303" t="str">
        <f t="shared" si="124"/>
        <v>shallow</v>
      </c>
      <c r="CO51" s="304">
        <f t="shared" si="125"/>
        <v>1</v>
      </c>
      <c r="CP51" s="303" t="str">
        <f t="shared" si="126"/>
        <v>tiny</v>
      </c>
      <c r="CQ51" s="304">
        <f t="shared" si="127"/>
        <v>1</v>
      </c>
      <c r="CR51" s="303" t="str">
        <f t="shared" si="128"/>
        <v>very low</v>
      </c>
      <c r="CS51" s="304">
        <f t="shared" si="129"/>
        <v>1</v>
      </c>
      <c r="CT51" s="303" t="str">
        <f t="shared" si="130"/>
        <v>none</v>
      </c>
      <c r="CU51" s="304">
        <f t="shared" si="131"/>
        <v>1</v>
      </c>
      <c r="CV51" s="304">
        <f t="shared" si="132"/>
        <v>72</v>
      </c>
      <c r="CW51" s="304" t="str">
        <f t="shared" si="133"/>
        <v>simple complexity hydrodynamics</v>
      </c>
      <c r="CX51" s="304">
        <f t="shared" si="188"/>
        <v>71</v>
      </c>
      <c r="CY51" s="304" t="str">
        <f t="shared" si="134"/>
        <v>intermediate complexity water quality</v>
      </c>
      <c r="CZ51" s="216" t="s">
        <v>402</v>
      </c>
      <c r="DA51" s="252" t="str">
        <f t="shared" si="185"/>
        <v>-</v>
      </c>
      <c r="DB51" s="251" t="str">
        <f t="shared" si="186"/>
        <v>simple complexity hydrodynamics; intermediate complexity water quality</v>
      </c>
      <c r="DC51" s="227"/>
      <c r="DD51" s="475" t="str">
        <f t="shared" si="73"/>
        <v>Little Harbor</v>
      </c>
      <c r="DE51" s="475">
        <f t="shared" si="74"/>
        <v>44</v>
      </c>
      <c r="DF51" s="465">
        <f t="shared" si="135"/>
        <v>0.31</v>
      </c>
      <c r="DG51" s="466">
        <f t="shared" si="136"/>
        <v>0.06</v>
      </c>
      <c r="DH51" s="465">
        <f t="shared" si="137"/>
        <v>0.35</v>
      </c>
      <c r="DI51" s="465">
        <f t="shared" si="138"/>
        <v>168.6</v>
      </c>
      <c r="DJ51" s="465">
        <f t="shared" si="139"/>
        <v>2</v>
      </c>
      <c r="DK51" s="465">
        <f t="shared" si="140"/>
        <v>0.7</v>
      </c>
      <c r="DL51" s="465">
        <f t="shared" si="141"/>
        <v>0.8</v>
      </c>
      <c r="DM51" s="465">
        <f t="shared" si="142"/>
        <v>1.7</v>
      </c>
      <c r="DN51" s="465">
        <f t="shared" si="143"/>
        <v>0</v>
      </c>
      <c r="DO51" s="465">
        <f t="shared" si="144"/>
        <v>5829</v>
      </c>
      <c r="DP51" s="465">
        <f t="shared" si="145"/>
        <v>105031</v>
      </c>
      <c r="DQ51" s="467">
        <f t="shared" si="146"/>
        <v>1.8</v>
      </c>
      <c r="DR51" s="467">
        <f t="shared" si="147"/>
        <v>0</v>
      </c>
      <c r="DS51" s="467">
        <f t="shared" si="148"/>
        <v>569</v>
      </c>
      <c r="DT51" s="467">
        <f t="shared" si="149"/>
        <v>10.199999999999999</v>
      </c>
      <c r="DU51" s="467">
        <f t="shared" si="150"/>
        <v>0.1</v>
      </c>
      <c r="DV51" s="467">
        <f t="shared" si="151"/>
        <v>4.99</v>
      </c>
      <c r="DW51" s="467">
        <f t="shared" si="152"/>
        <v>0</v>
      </c>
      <c r="DX51" s="467">
        <f t="shared" si="153"/>
        <v>100</v>
      </c>
      <c r="DY51" s="467">
        <f t="shared" si="154"/>
        <v>100</v>
      </c>
      <c r="DZ51" s="467">
        <f t="shared" si="155"/>
        <v>80</v>
      </c>
      <c r="EA51" s="467">
        <f t="shared" si="156"/>
        <v>184</v>
      </c>
      <c r="EB51" s="467">
        <f t="shared" si="157"/>
        <v>32</v>
      </c>
      <c r="EC51" s="467">
        <f t="shared" si="158"/>
        <v>0</v>
      </c>
      <c r="ED51" s="467">
        <f t="shared" si="159"/>
        <v>2.7100000000000002E-3</v>
      </c>
      <c r="EE51" s="467">
        <f t="shared" si="160"/>
        <v>2.95</v>
      </c>
      <c r="EF51" s="138">
        <f t="shared" si="75"/>
        <v>1.9</v>
      </c>
      <c r="EG51" s="138" t="str">
        <f t="shared" si="76"/>
        <v>unlikely, too shallow</v>
      </c>
      <c r="EH51" s="138">
        <f t="shared" si="77"/>
        <v>3.57</v>
      </c>
      <c r="EI51" s="138">
        <f t="shared" si="78"/>
        <v>1.47</v>
      </c>
      <c r="EJ51" s="138">
        <f t="shared" si="79"/>
        <v>1.18</v>
      </c>
    </row>
    <row r="52" spans="1:140" ht="44" customHeight="1" x14ac:dyDescent="0.35">
      <c r="A52" s="388">
        <v>45</v>
      </c>
      <c r="B52" s="215" t="s">
        <v>204</v>
      </c>
      <c r="C52" s="210">
        <v>45</v>
      </c>
      <c r="D52" s="196"/>
      <c r="E52" s="221"/>
      <c r="F52" s="197">
        <v>2702490</v>
      </c>
      <c r="G52" s="197">
        <v>7630.0450000000001</v>
      </c>
      <c r="H52" s="241">
        <f t="shared" si="60"/>
        <v>354.19057161523949</v>
      </c>
      <c r="I52" s="241">
        <f t="shared" si="61"/>
        <v>21.542202451082151</v>
      </c>
      <c r="J52" s="212">
        <v>0.64946882319638555</v>
      </c>
      <c r="K52" s="213">
        <v>2.2588392725420499</v>
      </c>
      <c r="L52" s="213">
        <v>1.95</v>
      </c>
      <c r="M52" s="213">
        <v>6</v>
      </c>
      <c r="N52" s="241">
        <f t="shared" si="161"/>
        <v>3663601.6567756664</v>
      </c>
      <c r="O52" s="221"/>
      <c r="P52" s="241">
        <f t="shared" si="62"/>
        <v>115643.00787117945</v>
      </c>
      <c r="Q52" s="241">
        <f t="shared" si="162"/>
        <v>115643.00787117945</v>
      </c>
      <c r="R52" s="242">
        <f t="shared" si="163"/>
        <v>1.806399941444</v>
      </c>
      <c r="S52" s="213">
        <v>0.90319997072199998</v>
      </c>
      <c r="T52" s="241">
        <f t="shared" si="164"/>
        <v>4881777.7777529955</v>
      </c>
      <c r="U52" s="197">
        <v>1</v>
      </c>
      <c r="V52" s="243">
        <f t="shared" si="165"/>
        <v>4.6070514562563432</v>
      </c>
      <c r="W52" s="243">
        <f t="shared" si="166"/>
        <v>14.75385958328823</v>
      </c>
      <c r="X52" s="241">
        <f t="shared" si="167"/>
        <v>9763555.555505991</v>
      </c>
      <c r="Y52" s="242">
        <f t="shared" si="168"/>
        <v>0.75046465110953164</v>
      </c>
      <c r="Z52" s="243">
        <f t="shared" si="169"/>
        <v>31.680269514061205</v>
      </c>
      <c r="AA52" s="243">
        <f t="shared" si="170"/>
        <v>1.1844353956276159E-2</v>
      </c>
      <c r="AB52" s="245">
        <f t="shared" si="171"/>
        <v>1.0585084973320957E-2</v>
      </c>
      <c r="AC52" s="245">
        <f t="shared" si="65"/>
        <v>2.9789397301015494</v>
      </c>
      <c r="AD52" s="245">
        <f t="shared" si="172"/>
        <v>1.3325077983640408</v>
      </c>
      <c r="AE52" s="245">
        <f t="shared" si="173"/>
        <v>1.2255616246424636E-2</v>
      </c>
      <c r="AF52" s="221"/>
      <c r="AG52" s="211">
        <v>-72.826618999999994</v>
      </c>
      <c r="AH52" s="242">
        <f t="shared" si="174"/>
        <v>0.90720472759367432</v>
      </c>
      <c r="AI52" s="242">
        <f t="shared" si="66"/>
        <v>1.3227444296757072</v>
      </c>
      <c r="AJ52" s="242">
        <f t="shared" si="67"/>
        <v>3.481526803418197</v>
      </c>
      <c r="AK52" s="242">
        <f t="shared" si="68"/>
        <v>1.4342301825840928</v>
      </c>
      <c r="AL52" s="242">
        <f t="shared" si="69"/>
        <v>1.144686531018686</v>
      </c>
      <c r="AM52" s="213">
        <v>0.90319997072199998</v>
      </c>
      <c r="AN52" s="212">
        <v>0.73644854415259897</v>
      </c>
      <c r="AO52" s="212">
        <v>0.40246420088913198</v>
      </c>
      <c r="AP52" s="212">
        <v>0.29470737694882698</v>
      </c>
      <c r="AQ52" s="484">
        <f t="shared" si="70"/>
        <v>1.903199970722</v>
      </c>
      <c r="AR52" s="247" t="str">
        <f t="shared" si="187"/>
        <v>possible if water clarity improves</v>
      </c>
      <c r="AS52" s="221"/>
      <c r="AT52" s="197">
        <v>67113580</v>
      </c>
      <c r="AU52" s="197">
        <v>18004.767449999999</v>
      </c>
      <c r="AV52" s="197">
        <v>15838.676653333336</v>
      </c>
      <c r="AW52" s="197">
        <v>9429.3884323779639</v>
      </c>
      <c r="AX52" s="197">
        <v>5496.9544288458173</v>
      </c>
      <c r="AY52" s="197">
        <v>5241.8255209479275</v>
      </c>
      <c r="AZ52" s="197">
        <v>2161.9920000000002</v>
      </c>
      <c r="BA52" s="214"/>
      <c r="BB52" s="197">
        <v>40334.927832171707</v>
      </c>
      <c r="BC52" s="241">
        <f t="shared" si="175"/>
        <v>38168.837035505043</v>
      </c>
      <c r="BD52" s="241">
        <f t="shared" si="176"/>
        <v>141.23581228979586</v>
      </c>
      <c r="BE52" s="241">
        <f t="shared" si="177"/>
        <v>38168.837035505043</v>
      </c>
      <c r="BF52" s="241">
        <f t="shared" si="86"/>
        <v>141.23581228979586</v>
      </c>
      <c r="BG52" s="248">
        <f t="shared" si="178"/>
        <v>41.49635640876361</v>
      </c>
      <c r="BH52" s="221"/>
      <c r="BI52" s="213">
        <f t="shared" si="71"/>
        <v>379.61275000000001</v>
      </c>
      <c r="BJ52" s="197">
        <v>1518451</v>
      </c>
      <c r="BK52" s="213">
        <v>0</v>
      </c>
      <c r="BL52" s="197">
        <f t="shared" si="82"/>
        <v>0</v>
      </c>
      <c r="BM52" s="197"/>
      <c r="BN52" s="221"/>
      <c r="BO52" s="241">
        <f t="shared" si="179"/>
        <v>270.24900000000002</v>
      </c>
      <c r="BP52" s="241">
        <f t="shared" si="180"/>
        <v>21.542202451082151</v>
      </c>
      <c r="BQ52" s="242">
        <f t="shared" si="119"/>
        <v>6</v>
      </c>
      <c r="BR52" s="241">
        <f t="shared" si="181"/>
        <v>1</v>
      </c>
      <c r="BS52" s="244">
        <f t="shared" si="182"/>
        <v>1.1844353956276159E-2</v>
      </c>
      <c r="BT52" s="242">
        <f t="shared" si="183"/>
        <v>2.9789397301015494</v>
      </c>
      <c r="BU52" s="241">
        <f t="shared" si="184"/>
        <v>41.49635640876361</v>
      </c>
      <c r="BV52" s="221"/>
      <c r="CI52" s="221"/>
      <c r="CJ52" s="303" t="str">
        <f t="shared" si="120"/>
        <v>intermediate complexity hydrodynamics</v>
      </c>
      <c r="CK52" s="304">
        <f t="shared" si="121"/>
        <v>2</v>
      </c>
      <c r="CL52" s="303" t="str">
        <f t="shared" si="122"/>
        <v>intermediate or complex water quality</v>
      </c>
      <c r="CM52" s="304">
        <f t="shared" si="123"/>
        <v>3</v>
      </c>
      <c r="CN52" s="303" t="str">
        <f t="shared" si="124"/>
        <v>moderate</v>
      </c>
      <c r="CO52" s="304">
        <f t="shared" si="125"/>
        <v>2</v>
      </c>
      <c r="CP52" s="303" t="str">
        <f t="shared" si="126"/>
        <v>mid-size</v>
      </c>
      <c r="CQ52" s="304">
        <f t="shared" si="127"/>
        <v>4</v>
      </c>
      <c r="CR52" s="303" t="str">
        <f t="shared" si="128"/>
        <v>moderate</v>
      </c>
      <c r="CS52" s="304">
        <f t="shared" si="129"/>
        <v>3</v>
      </c>
      <c r="CT52" s="303" t="str">
        <f t="shared" si="130"/>
        <v>head</v>
      </c>
      <c r="CU52" s="304">
        <f t="shared" si="131"/>
        <v>2</v>
      </c>
      <c r="CV52" s="304">
        <f t="shared" si="132"/>
        <v>135</v>
      </c>
      <c r="CW52" s="304" t="str">
        <f t="shared" si="133"/>
        <v>intermediate complexity hydrodynamics</v>
      </c>
      <c r="CX52" s="304">
        <f t="shared" si="188"/>
        <v>106</v>
      </c>
      <c r="CY52" s="304" t="str">
        <f t="shared" si="134"/>
        <v>intermediate complexity water quality</v>
      </c>
      <c r="CZ52" s="216" t="s">
        <v>402</v>
      </c>
      <c r="DA52" s="252" t="str">
        <f t="shared" si="185"/>
        <v>WASP</v>
      </c>
      <c r="DB52" s="251" t="str">
        <f t="shared" si="186"/>
        <v>intermediate complexity hydrodynamics; intermediate complexity water quality (WASP)</v>
      </c>
      <c r="DC52" s="227"/>
      <c r="DD52" s="475" t="str">
        <f t="shared" si="73"/>
        <v>Branford Harbor</v>
      </c>
      <c r="DE52" s="475">
        <f t="shared" si="74"/>
        <v>45</v>
      </c>
      <c r="DF52" s="465">
        <f t="shared" si="135"/>
        <v>67.11</v>
      </c>
      <c r="DG52" s="466">
        <f t="shared" si="136"/>
        <v>2.7</v>
      </c>
      <c r="DH52" s="465">
        <f t="shared" si="137"/>
        <v>7.63</v>
      </c>
      <c r="DI52" s="465">
        <f t="shared" si="138"/>
        <v>354.2</v>
      </c>
      <c r="DJ52" s="465">
        <f t="shared" si="139"/>
        <v>22</v>
      </c>
      <c r="DK52" s="465">
        <f t="shared" si="140"/>
        <v>2.2999999999999998</v>
      </c>
      <c r="DL52" s="465">
        <f t="shared" si="141"/>
        <v>2</v>
      </c>
      <c r="DM52" s="465">
        <f t="shared" si="142"/>
        <v>6</v>
      </c>
      <c r="DN52" s="465">
        <f t="shared" si="143"/>
        <v>65</v>
      </c>
      <c r="DO52" s="465">
        <f t="shared" si="144"/>
        <v>3663602</v>
      </c>
      <c r="DP52" s="465">
        <f t="shared" si="145"/>
        <v>4881778</v>
      </c>
      <c r="DQ52" s="467">
        <f t="shared" si="146"/>
        <v>1.81</v>
      </c>
      <c r="DR52" s="467">
        <f t="shared" si="147"/>
        <v>1</v>
      </c>
      <c r="DS52" s="467">
        <f t="shared" si="148"/>
        <v>115643</v>
      </c>
      <c r="DT52" s="467">
        <f t="shared" si="149"/>
        <v>31.7</v>
      </c>
      <c r="DU52" s="467">
        <f t="shared" si="150"/>
        <v>0.8</v>
      </c>
      <c r="DV52" s="467">
        <f t="shared" si="151"/>
        <v>379.61</v>
      </c>
      <c r="DW52" s="467">
        <f t="shared" si="152"/>
        <v>0</v>
      </c>
      <c r="DX52" s="467">
        <f t="shared" si="153"/>
        <v>74</v>
      </c>
      <c r="DY52" s="467">
        <f t="shared" si="154"/>
        <v>40</v>
      </c>
      <c r="DZ52" s="467">
        <f t="shared" si="155"/>
        <v>29</v>
      </c>
      <c r="EA52" s="467">
        <f t="shared" si="156"/>
        <v>38169</v>
      </c>
      <c r="EB52" s="467">
        <f t="shared" si="157"/>
        <v>141</v>
      </c>
      <c r="EC52" s="467">
        <f t="shared" si="158"/>
        <v>41</v>
      </c>
      <c r="ED52" s="467">
        <f t="shared" si="159"/>
        <v>1.184E-2</v>
      </c>
      <c r="EE52" s="467">
        <f t="shared" si="160"/>
        <v>2.98</v>
      </c>
      <c r="EF52" s="138">
        <f t="shared" si="75"/>
        <v>1.9</v>
      </c>
      <c r="EG52" s="138" t="str">
        <f t="shared" si="76"/>
        <v>possible if water clarity improves</v>
      </c>
      <c r="EH52" s="138">
        <f t="shared" si="77"/>
        <v>3.48</v>
      </c>
      <c r="EI52" s="138">
        <f t="shared" si="78"/>
        <v>1.43</v>
      </c>
      <c r="EJ52" s="138">
        <f t="shared" si="79"/>
        <v>1.1399999999999999</v>
      </c>
    </row>
    <row r="53" spans="1:140" ht="44" customHeight="1" x14ac:dyDescent="0.35">
      <c r="A53" s="388">
        <v>46</v>
      </c>
      <c r="B53" s="215" t="s">
        <v>445</v>
      </c>
      <c r="C53" s="210">
        <v>46</v>
      </c>
      <c r="D53" s="196"/>
      <c r="E53" s="221"/>
      <c r="F53" s="197">
        <v>74175</v>
      </c>
      <c r="G53" s="197">
        <v>339.08319999999998</v>
      </c>
      <c r="H53" s="241">
        <f t="shared" si="60"/>
        <v>218.75162202079019</v>
      </c>
      <c r="I53" s="241">
        <f t="shared" si="61"/>
        <v>1.5500831347791033</v>
      </c>
      <c r="J53" s="212">
        <v>0</v>
      </c>
      <c r="K53" s="213">
        <v>0.75</v>
      </c>
      <c r="L53" s="213">
        <v>0.75</v>
      </c>
      <c r="M53" s="213">
        <v>1.2</v>
      </c>
      <c r="N53" s="241">
        <f t="shared" si="161"/>
        <v>7417.5</v>
      </c>
      <c r="O53" s="221"/>
      <c r="P53" s="241">
        <f t="shared" si="62"/>
        <v>1304.492928650888</v>
      </c>
      <c r="Q53" s="241">
        <f t="shared" si="162"/>
        <v>1304.492928650888</v>
      </c>
      <c r="R53" s="242">
        <f t="shared" si="163"/>
        <v>1.807600021362</v>
      </c>
      <c r="S53" s="213">
        <v>0.90380001068100002</v>
      </c>
      <c r="T53" s="241">
        <f t="shared" si="164"/>
        <v>134078.73158452637</v>
      </c>
      <c r="U53" s="197">
        <v>0</v>
      </c>
      <c r="V53" s="243">
        <f t="shared" si="165"/>
        <v>0.31416116679834638</v>
      </c>
      <c r="W53" s="243">
        <f t="shared" si="166"/>
        <v>0.98070866014485869</v>
      </c>
      <c r="X53" s="241">
        <f t="shared" si="167"/>
        <v>268157.46316905273</v>
      </c>
      <c r="Y53" s="242">
        <f t="shared" si="168"/>
        <v>5.5321973234239874E-2</v>
      </c>
      <c r="Z53" s="243">
        <f t="shared" si="169"/>
        <v>5.6861174461644719</v>
      </c>
      <c r="AA53" s="243">
        <f t="shared" si="170"/>
        <v>4.8646527052969065E-3</v>
      </c>
      <c r="AB53" s="245">
        <f t="shared" si="171"/>
        <v>4.1078294477438337E-3</v>
      </c>
      <c r="AC53" s="245">
        <f t="shared" si="65"/>
        <v>2.8147466335887308</v>
      </c>
      <c r="AD53" s="245">
        <f t="shared" si="172"/>
        <v>18.076000213620002</v>
      </c>
      <c r="AE53" s="245">
        <f t="shared" si="173"/>
        <v>5.0335642575641609E-3</v>
      </c>
      <c r="AF53" s="221"/>
      <c r="AG53" s="211">
        <v>-72.843528000000006</v>
      </c>
      <c r="AH53" s="242">
        <f t="shared" si="174"/>
        <v>0.90272244346140829</v>
      </c>
      <c r="AI53" s="242">
        <f t="shared" si="66"/>
        <v>1.3293122472935397</v>
      </c>
      <c r="AJ53" s="242">
        <f t="shared" si="67"/>
        <v>3.4643254023756644</v>
      </c>
      <c r="AK53" s="242">
        <f t="shared" si="68"/>
        <v>1.4271439902463774</v>
      </c>
      <c r="AL53" s="242">
        <f t="shared" si="69"/>
        <v>1.1390309054268608</v>
      </c>
      <c r="AM53" s="213">
        <v>0.90380001068100002</v>
      </c>
      <c r="AN53" s="212">
        <v>1</v>
      </c>
      <c r="AO53" s="212">
        <v>0.93333333333333302</v>
      </c>
      <c r="AP53" s="212">
        <v>0.73333333333333295</v>
      </c>
      <c r="AQ53" s="484">
        <f t="shared" si="70"/>
        <v>1.903800010681</v>
      </c>
      <c r="AR53" s="247" t="str">
        <f t="shared" si="187"/>
        <v>unlikely, too shallow</v>
      </c>
      <c r="AS53" s="221"/>
      <c r="AT53" s="197">
        <v>723534.5</v>
      </c>
      <c r="AU53" s="197">
        <v>0</v>
      </c>
      <c r="AV53" s="197">
        <v>0</v>
      </c>
      <c r="AW53" s="197">
        <v>174.78392089891776</v>
      </c>
      <c r="AX53" s="197">
        <v>97.667545701979392</v>
      </c>
      <c r="AY53" s="197">
        <v>72.228405180355935</v>
      </c>
      <c r="AZ53" s="197">
        <v>59.34</v>
      </c>
      <c r="BA53" s="214"/>
      <c r="BB53" s="197">
        <v>404.01987178125307</v>
      </c>
      <c r="BC53" s="241">
        <f t="shared" si="175"/>
        <v>404.01987178125307</v>
      </c>
      <c r="BD53" s="241">
        <f t="shared" si="176"/>
        <v>54.468469400910422</v>
      </c>
      <c r="BE53" s="241">
        <f t="shared" si="177"/>
        <v>404.01987178125307</v>
      </c>
      <c r="BF53" s="241">
        <f t="shared" si="86"/>
        <v>54.468469400910422</v>
      </c>
      <c r="BG53" s="248">
        <f t="shared" si="178"/>
        <v>0</v>
      </c>
      <c r="BH53" s="221"/>
      <c r="BI53" s="213">
        <f t="shared" si="71"/>
        <v>9.1356525000000008E-2</v>
      </c>
      <c r="BJ53" s="197">
        <v>365.42610000000002</v>
      </c>
      <c r="BK53" s="213">
        <v>0</v>
      </c>
      <c r="BL53" s="197">
        <f t="shared" si="82"/>
        <v>0</v>
      </c>
      <c r="BM53" s="197"/>
      <c r="BN53" s="221"/>
      <c r="BO53" s="241">
        <f t="shared" si="179"/>
        <v>7.4175000000000004</v>
      </c>
      <c r="BP53" s="241">
        <f t="shared" si="180"/>
        <v>1.5500831347791033</v>
      </c>
      <c r="BQ53" s="242">
        <f t="shared" si="119"/>
        <v>1.2</v>
      </c>
      <c r="BR53" s="241">
        <f t="shared" si="181"/>
        <v>0</v>
      </c>
      <c r="BS53" s="244">
        <f t="shared" si="182"/>
        <v>4.8646527052969065E-3</v>
      </c>
      <c r="BT53" s="242">
        <f t="shared" si="183"/>
        <v>2.8147466335887308</v>
      </c>
      <c r="BU53" s="241">
        <f t="shared" si="184"/>
        <v>0</v>
      </c>
      <c r="BV53" s="221"/>
      <c r="CI53" s="221"/>
      <c r="CJ53" s="303" t="str">
        <f t="shared" si="120"/>
        <v>intermediate complexity hydrodynamics</v>
      </c>
      <c r="CK53" s="304">
        <f t="shared" si="121"/>
        <v>2</v>
      </c>
      <c r="CL53" s="303" t="str">
        <f t="shared" si="122"/>
        <v>intermediate or complex water quality</v>
      </c>
      <c r="CM53" s="304">
        <f t="shared" si="123"/>
        <v>3</v>
      </c>
      <c r="CN53" s="303" t="str">
        <f t="shared" si="124"/>
        <v>shallow</v>
      </c>
      <c r="CO53" s="304">
        <f t="shared" si="125"/>
        <v>1</v>
      </c>
      <c r="CP53" s="303" t="str">
        <f t="shared" si="126"/>
        <v>very small</v>
      </c>
      <c r="CQ53" s="304">
        <f t="shared" si="127"/>
        <v>2</v>
      </c>
      <c r="CR53" s="303" t="str">
        <f t="shared" si="128"/>
        <v>very low</v>
      </c>
      <c r="CS53" s="304">
        <f t="shared" si="129"/>
        <v>1</v>
      </c>
      <c r="CT53" s="303" t="str">
        <f t="shared" si="130"/>
        <v>none</v>
      </c>
      <c r="CU53" s="304">
        <f t="shared" si="131"/>
        <v>1</v>
      </c>
      <c r="CV53" s="304">
        <f t="shared" si="132"/>
        <v>102</v>
      </c>
      <c r="CW53" s="304" t="str">
        <f t="shared" si="133"/>
        <v>intermediate complexity hydrodynamics</v>
      </c>
      <c r="CX53" s="304">
        <f t="shared" si="188"/>
        <v>75</v>
      </c>
      <c r="CY53" s="304" t="str">
        <f t="shared" si="134"/>
        <v>intermediate complexity water quality</v>
      </c>
      <c r="CZ53" s="216" t="s">
        <v>402</v>
      </c>
      <c r="DA53" s="252" t="str">
        <f t="shared" si="185"/>
        <v>-</v>
      </c>
      <c r="DB53" s="251" t="str">
        <f t="shared" si="186"/>
        <v>intermediate complexity hydrodynamics; intermediate complexity water quality</v>
      </c>
      <c r="DC53" s="227"/>
      <c r="DD53" s="475" t="str">
        <f t="shared" si="73"/>
        <v>Pages Cove</v>
      </c>
      <c r="DE53" s="475">
        <f t="shared" si="74"/>
        <v>46</v>
      </c>
      <c r="DF53" s="465">
        <f t="shared" si="135"/>
        <v>0.72</v>
      </c>
      <c r="DG53" s="466">
        <f t="shared" si="136"/>
        <v>7.0000000000000007E-2</v>
      </c>
      <c r="DH53" s="465">
        <f t="shared" si="137"/>
        <v>0.34</v>
      </c>
      <c r="DI53" s="465">
        <f t="shared" si="138"/>
        <v>218.8</v>
      </c>
      <c r="DJ53" s="465">
        <f t="shared" si="139"/>
        <v>2</v>
      </c>
      <c r="DK53" s="465">
        <f t="shared" si="140"/>
        <v>0.8</v>
      </c>
      <c r="DL53" s="465">
        <f t="shared" si="141"/>
        <v>0.8</v>
      </c>
      <c r="DM53" s="465">
        <f t="shared" si="142"/>
        <v>1.2</v>
      </c>
      <c r="DN53" s="465">
        <f t="shared" si="143"/>
        <v>0</v>
      </c>
      <c r="DO53" s="465">
        <f t="shared" si="144"/>
        <v>7418</v>
      </c>
      <c r="DP53" s="465">
        <f t="shared" si="145"/>
        <v>134079</v>
      </c>
      <c r="DQ53" s="467">
        <f t="shared" si="146"/>
        <v>1.81</v>
      </c>
      <c r="DR53" s="467">
        <f t="shared" si="147"/>
        <v>0</v>
      </c>
      <c r="DS53" s="467">
        <f t="shared" si="148"/>
        <v>1304</v>
      </c>
      <c r="DT53" s="467">
        <f t="shared" si="149"/>
        <v>5.7</v>
      </c>
      <c r="DU53" s="467">
        <f t="shared" si="150"/>
        <v>0.1</v>
      </c>
      <c r="DV53" s="467">
        <f t="shared" si="151"/>
        <v>0.09</v>
      </c>
      <c r="DW53" s="467">
        <f t="shared" si="152"/>
        <v>0</v>
      </c>
      <c r="DX53" s="467">
        <f t="shared" si="153"/>
        <v>100</v>
      </c>
      <c r="DY53" s="467">
        <f t="shared" si="154"/>
        <v>93</v>
      </c>
      <c r="DZ53" s="467">
        <f t="shared" si="155"/>
        <v>73</v>
      </c>
      <c r="EA53" s="467">
        <f t="shared" si="156"/>
        <v>404</v>
      </c>
      <c r="EB53" s="467">
        <f t="shared" si="157"/>
        <v>54</v>
      </c>
      <c r="EC53" s="467">
        <f t="shared" si="158"/>
        <v>0</v>
      </c>
      <c r="ED53" s="467">
        <f t="shared" si="159"/>
        <v>4.8599999999999997E-3</v>
      </c>
      <c r="EE53" s="467">
        <f t="shared" si="160"/>
        <v>2.81</v>
      </c>
      <c r="EF53" s="138">
        <f t="shared" si="75"/>
        <v>1.9</v>
      </c>
      <c r="EG53" s="138" t="str">
        <f t="shared" si="76"/>
        <v>unlikely, too shallow</v>
      </c>
      <c r="EH53" s="138">
        <f t="shared" si="77"/>
        <v>3.46</v>
      </c>
      <c r="EI53" s="138">
        <f t="shared" si="78"/>
        <v>1.43</v>
      </c>
      <c r="EJ53" s="138">
        <f t="shared" si="79"/>
        <v>1.1399999999999999</v>
      </c>
    </row>
    <row r="54" spans="1:140" ht="44" customHeight="1" x14ac:dyDescent="0.35">
      <c r="A54" s="388">
        <v>47</v>
      </c>
      <c r="B54" s="215" t="s">
        <v>446</v>
      </c>
      <c r="C54" s="210">
        <v>47</v>
      </c>
      <c r="D54" s="196"/>
      <c r="E54" s="221"/>
      <c r="F54" s="197">
        <v>421418</v>
      </c>
      <c r="G54" s="197">
        <v>4581.2219999999998</v>
      </c>
      <c r="H54" s="241">
        <f t="shared" si="60"/>
        <v>91.988120200243515</v>
      </c>
      <c r="I54" s="241">
        <f t="shared" si="61"/>
        <v>49.802322191467852</v>
      </c>
      <c r="J54" s="212">
        <v>0.2765330384558799</v>
      </c>
      <c r="K54" s="213">
        <v>1.2088700530115</v>
      </c>
      <c r="L54" s="213">
        <v>1.05</v>
      </c>
      <c r="M54" s="213">
        <v>5.16</v>
      </c>
      <c r="N54" s="241">
        <f t="shared" si="161"/>
        <v>105721.15419127421</v>
      </c>
      <c r="O54" s="221"/>
      <c r="P54" s="241">
        <f t="shared" si="62"/>
        <v>116118.43910983481</v>
      </c>
      <c r="Q54" s="241">
        <f t="shared" si="162"/>
        <v>116118.43910983481</v>
      </c>
      <c r="R54" s="242">
        <f t="shared" si="163"/>
        <v>1.9160000085840001</v>
      </c>
      <c r="S54" s="213">
        <v>0.95800000429200005</v>
      </c>
      <c r="T54" s="241">
        <f t="shared" si="164"/>
        <v>807436.89161745214</v>
      </c>
      <c r="U54" s="197">
        <v>0</v>
      </c>
      <c r="V54" s="243">
        <f t="shared" si="165"/>
        <v>3.2834668999306147</v>
      </c>
      <c r="W54" s="243">
        <f t="shared" si="166"/>
        <v>10.389438684753447</v>
      </c>
      <c r="X54" s="241">
        <f t="shared" si="167"/>
        <v>1614873.7832349043</v>
      </c>
      <c r="Y54" s="242">
        <f t="shared" si="168"/>
        <v>0.13093426283693121</v>
      </c>
      <c r="Z54" s="243">
        <f t="shared" si="169"/>
        <v>0.91045965655182504</v>
      </c>
      <c r="AA54" s="243">
        <f t="shared" si="170"/>
        <v>7.1905581919366565E-2</v>
      </c>
      <c r="AB54" s="245">
        <f t="shared" si="171"/>
        <v>5.2373768747666728E-2</v>
      </c>
      <c r="AC54" s="245">
        <f t="shared" si="65"/>
        <v>2.4278953663800209</v>
      </c>
      <c r="AD54" s="245">
        <f t="shared" si="172"/>
        <v>7.6374203232459097</v>
      </c>
      <c r="AE54" s="245">
        <f t="shared" si="173"/>
        <v>7.4402303513789014E-2</v>
      </c>
      <c r="AF54" s="221"/>
      <c r="AG54" s="211">
        <v>-72.858806000000001</v>
      </c>
      <c r="AH54" s="246">
        <v>0.51425376482153928</v>
      </c>
      <c r="AI54" s="246">
        <f t="shared" si="66"/>
        <v>2.3334782982414026</v>
      </c>
      <c r="AJ54" s="246">
        <f t="shared" si="67"/>
        <v>1.9735217548235702</v>
      </c>
      <c r="AK54" s="246">
        <f t="shared" si="68"/>
        <v>0.8130009121214552</v>
      </c>
      <c r="AL54" s="246">
        <f t="shared" si="69"/>
        <v>0.64887157243796922</v>
      </c>
      <c r="AM54" s="218">
        <v>0.95800000429200005</v>
      </c>
      <c r="AN54" s="212">
        <v>0.84197637500059297</v>
      </c>
      <c r="AO54" s="212">
        <v>0.36173110783118001</v>
      </c>
      <c r="AP54" s="212">
        <v>0.27129833087338501</v>
      </c>
      <c r="AQ54" s="484">
        <f t="shared" si="70"/>
        <v>1.9580000042920001</v>
      </c>
      <c r="AR54" s="247" t="str">
        <f t="shared" si="187"/>
        <v>possible if water clarity improves</v>
      </c>
      <c r="AS54" s="221"/>
      <c r="AT54" s="197">
        <v>67392290</v>
      </c>
      <c r="AU54" s="197">
        <v>0</v>
      </c>
      <c r="AV54" s="197">
        <v>0</v>
      </c>
      <c r="AW54" s="197">
        <v>14736.765869322078</v>
      </c>
      <c r="AX54" s="197">
        <v>12572.418144635569</v>
      </c>
      <c r="AY54" s="197">
        <v>5444.0656063813231</v>
      </c>
      <c r="AZ54" s="197">
        <v>337.13440000000003</v>
      </c>
      <c r="BA54" s="214"/>
      <c r="BB54" s="197">
        <v>33090.38402033897</v>
      </c>
      <c r="BC54" s="241">
        <f t="shared" si="175"/>
        <v>33090.38402033897</v>
      </c>
      <c r="BD54" s="241">
        <f t="shared" si="176"/>
        <v>785.21524994990659</v>
      </c>
      <c r="BE54" s="241">
        <f t="shared" si="177"/>
        <v>33090.38402033897</v>
      </c>
      <c r="BF54" s="241">
        <f t="shared" si="86"/>
        <v>785.21524994990659</v>
      </c>
      <c r="BG54" s="248">
        <f t="shared" si="178"/>
        <v>0</v>
      </c>
      <c r="BH54" s="221"/>
      <c r="BI54" s="213">
        <f t="shared" si="71"/>
        <v>266.54775000000001</v>
      </c>
      <c r="BJ54" s="197">
        <v>1066191</v>
      </c>
      <c r="BK54" s="213">
        <v>0</v>
      </c>
      <c r="BL54" s="197">
        <f t="shared" si="82"/>
        <v>0</v>
      </c>
      <c r="BM54" s="197"/>
      <c r="BN54" s="221"/>
      <c r="BO54" s="241">
        <f t="shared" si="179"/>
        <v>42.141800000000003</v>
      </c>
      <c r="BP54" s="241">
        <f t="shared" si="180"/>
        <v>49.802322191467852</v>
      </c>
      <c r="BQ54" s="242">
        <f t="shared" si="119"/>
        <v>5.16</v>
      </c>
      <c r="BR54" s="241">
        <f t="shared" si="181"/>
        <v>0</v>
      </c>
      <c r="BS54" s="244">
        <f t="shared" si="182"/>
        <v>7.1905581919366565E-2</v>
      </c>
      <c r="BT54" s="242">
        <f t="shared" si="183"/>
        <v>2.4278953663800209</v>
      </c>
      <c r="BU54" s="241">
        <f t="shared" si="184"/>
        <v>0</v>
      </c>
      <c r="BV54" s="221"/>
      <c r="CI54" s="221"/>
      <c r="CJ54" s="303" t="str">
        <f t="shared" si="120"/>
        <v>complex hydrodynamics</v>
      </c>
      <c r="CK54" s="304">
        <f t="shared" si="121"/>
        <v>3</v>
      </c>
      <c r="CL54" s="303" t="str">
        <f t="shared" si="122"/>
        <v>intermediate complexity water quality</v>
      </c>
      <c r="CM54" s="304">
        <f t="shared" si="123"/>
        <v>2</v>
      </c>
      <c r="CN54" s="303" t="str">
        <f t="shared" si="124"/>
        <v>moderate</v>
      </c>
      <c r="CO54" s="304">
        <f t="shared" si="125"/>
        <v>2</v>
      </c>
      <c r="CP54" s="303" t="str">
        <f t="shared" si="126"/>
        <v>mid-size</v>
      </c>
      <c r="CQ54" s="304">
        <f t="shared" si="127"/>
        <v>4</v>
      </c>
      <c r="CR54" s="303" t="str">
        <f t="shared" si="128"/>
        <v>high</v>
      </c>
      <c r="CS54" s="304">
        <f t="shared" si="129"/>
        <v>4</v>
      </c>
      <c r="CT54" s="303" t="str">
        <f t="shared" si="130"/>
        <v>none</v>
      </c>
      <c r="CU54" s="304">
        <f t="shared" si="131"/>
        <v>1</v>
      </c>
      <c r="CV54" s="304">
        <f t="shared" si="132"/>
        <v>145</v>
      </c>
      <c r="CW54" s="304" t="str">
        <f t="shared" si="133"/>
        <v>complex hydrodynamics</v>
      </c>
      <c r="CX54" s="304">
        <f t="shared" si="188"/>
        <v>91</v>
      </c>
      <c r="CY54" s="304" t="str">
        <f t="shared" si="134"/>
        <v>intermediate complexity water quality</v>
      </c>
      <c r="CZ54" s="216" t="s">
        <v>402</v>
      </c>
      <c r="DA54" s="252" t="str">
        <f t="shared" si="185"/>
        <v>-</v>
      </c>
      <c r="DB54" s="251" t="str">
        <f t="shared" si="186"/>
        <v>complex hydrodynamics; intermediate complexity water quality</v>
      </c>
      <c r="DC54" s="227"/>
      <c r="DD54" s="475" t="str">
        <f t="shared" si="73"/>
        <v>Farm River</v>
      </c>
      <c r="DE54" s="475">
        <f t="shared" si="74"/>
        <v>47</v>
      </c>
      <c r="DF54" s="465">
        <f t="shared" si="135"/>
        <v>67.39</v>
      </c>
      <c r="DG54" s="466">
        <f t="shared" si="136"/>
        <v>0.42</v>
      </c>
      <c r="DH54" s="465">
        <f t="shared" si="137"/>
        <v>4.58</v>
      </c>
      <c r="DI54" s="465">
        <f t="shared" si="138"/>
        <v>92</v>
      </c>
      <c r="DJ54" s="465">
        <f t="shared" si="139"/>
        <v>50</v>
      </c>
      <c r="DK54" s="465">
        <f t="shared" si="140"/>
        <v>1.2</v>
      </c>
      <c r="DL54" s="465">
        <f t="shared" si="141"/>
        <v>1.1000000000000001</v>
      </c>
      <c r="DM54" s="465">
        <f t="shared" si="142"/>
        <v>5.2</v>
      </c>
      <c r="DN54" s="465">
        <f t="shared" si="143"/>
        <v>28</v>
      </c>
      <c r="DO54" s="465">
        <f t="shared" si="144"/>
        <v>105721</v>
      </c>
      <c r="DP54" s="465">
        <f t="shared" si="145"/>
        <v>807437</v>
      </c>
      <c r="DQ54" s="467">
        <f t="shared" si="146"/>
        <v>1.92</v>
      </c>
      <c r="DR54" s="467">
        <f t="shared" si="147"/>
        <v>0</v>
      </c>
      <c r="DS54" s="467">
        <f t="shared" si="148"/>
        <v>116118</v>
      </c>
      <c r="DT54" s="467">
        <f t="shared" si="149"/>
        <v>0.9</v>
      </c>
      <c r="DU54" s="467">
        <f t="shared" si="150"/>
        <v>0.1</v>
      </c>
      <c r="DV54" s="467">
        <f t="shared" si="151"/>
        <v>266.55</v>
      </c>
      <c r="DW54" s="467">
        <f t="shared" si="152"/>
        <v>0</v>
      </c>
      <c r="DX54" s="467">
        <f t="shared" si="153"/>
        <v>84</v>
      </c>
      <c r="DY54" s="467">
        <f t="shared" si="154"/>
        <v>36</v>
      </c>
      <c r="DZ54" s="467">
        <f t="shared" si="155"/>
        <v>27</v>
      </c>
      <c r="EA54" s="467">
        <f t="shared" si="156"/>
        <v>33090</v>
      </c>
      <c r="EB54" s="467">
        <f t="shared" si="157"/>
        <v>785</v>
      </c>
      <c r="EC54" s="467">
        <f t="shared" si="158"/>
        <v>0</v>
      </c>
      <c r="ED54" s="467">
        <f t="shared" si="159"/>
        <v>7.1910000000000002E-2</v>
      </c>
      <c r="EE54" s="467">
        <f t="shared" si="160"/>
        <v>2.4300000000000002</v>
      </c>
      <c r="EF54" s="138">
        <f t="shared" si="75"/>
        <v>1.96</v>
      </c>
      <c r="EG54" s="138" t="str">
        <f t="shared" si="76"/>
        <v>possible if water clarity improves</v>
      </c>
      <c r="EH54" s="138">
        <f t="shared" si="77"/>
        <v>1.97</v>
      </c>
      <c r="EI54" s="138">
        <f t="shared" si="78"/>
        <v>0.81</v>
      </c>
      <c r="EJ54" s="138">
        <f t="shared" si="79"/>
        <v>0.65</v>
      </c>
    </row>
    <row r="55" spans="1:140" ht="44" customHeight="1" x14ac:dyDescent="0.35">
      <c r="A55" s="388">
        <v>48</v>
      </c>
      <c r="B55" s="215" t="s">
        <v>218</v>
      </c>
      <c r="C55" s="210">
        <v>48</v>
      </c>
      <c r="D55" s="196"/>
      <c r="E55" s="221"/>
      <c r="F55" s="197">
        <v>30289810</v>
      </c>
      <c r="G55" s="197">
        <v>18916.189999999999</v>
      </c>
      <c r="H55" s="241">
        <f t="shared" si="60"/>
        <v>1601.2637851491238</v>
      </c>
      <c r="I55" s="241">
        <f t="shared" si="61"/>
        <v>11.813287838916782</v>
      </c>
      <c r="J55" s="212">
        <v>1</v>
      </c>
      <c r="K55" s="213">
        <v>3.9284338896020499</v>
      </c>
      <c r="L55" s="213">
        <v>3.85</v>
      </c>
      <c r="M55" s="213">
        <v>15.26</v>
      </c>
      <c r="N55" s="241">
        <f t="shared" si="161"/>
        <v>89780023.548914015</v>
      </c>
      <c r="O55" s="221"/>
      <c r="P55" s="241">
        <f t="shared" si="62"/>
        <v>991270.33692207222</v>
      </c>
      <c r="Q55" s="241">
        <f t="shared" si="162"/>
        <v>991270.33692207222</v>
      </c>
      <c r="R55" s="242">
        <f t="shared" si="163"/>
        <v>1.9287999868400001</v>
      </c>
      <c r="S55" s="213">
        <v>0.96439999342000005</v>
      </c>
      <c r="T55" s="241">
        <f t="shared" si="164"/>
        <v>58422985.129386105</v>
      </c>
      <c r="U55" s="197">
        <v>0</v>
      </c>
      <c r="V55" s="243">
        <f t="shared" si="165"/>
        <v>4.0748423929053743</v>
      </c>
      <c r="W55" s="243">
        <f t="shared" si="166"/>
        <v>14.872786285969587</v>
      </c>
      <c r="X55" s="241">
        <f t="shared" si="167"/>
        <v>116845970.25877221</v>
      </c>
      <c r="Y55" s="242">
        <f t="shared" si="168"/>
        <v>1.5367243448804138</v>
      </c>
      <c r="Z55" s="243">
        <f t="shared" si="169"/>
        <v>90.570675026637048</v>
      </c>
      <c r="AA55" s="243">
        <f t="shared" si="170"/>
        <v>8.4835645998468032E-3</v>
      </c>
      <c r="AB55" s="245">
        <f t="shared" si="171"/>
        <v>1.746091868841209E-2</v>
      </c>
      <c r="AC55" s="245">
        <f t="shared" si="65"/>
        <v>6.8606847522276189</v>
      </c>
      <c r="AD55" s="245">
        <f t="shared" si="172"/>
        <v>0.65073479399964795</v>
      </c>
      <c r="AE55" s="245">
        <f t="shared" si="173"/>
        <v>8.7781328151192613E-3</v>
      </c>
      <c r="AF55" s="221"/>
      <c r="AG55" s="211">
        <v>-72.923865000000006</v>
      </c>
      <c r="AH55" s="242">
        <f>(AG55^2*-0.304-43.623*AG55-1561.6)*0.4012-0.2907</f>
        <v>0.8804736468566654</v>
      </c>
      <c r="AI55" s="242">
        <f t="shared" si="66"/>
        <v>1.3629028015592057</v>
      </c>
      <c r="AJ55" s="242">
        <f t="shared" si="67"/>
        <v>3.3789424900437686</v>
      </c>
      <c r="AK55" s="242">
        <f t="shared" si="68"/>
        <v>1.3919701263476114</v>
      </c>
      <c r="AL55" s="242">
        <f t="shared" si="69"/>
        <v>1.1109579721294605</v>
      </c>
      <c r="AM55" s="213">
        <v>0.96439999342000005</v>
      </c>
      <c r="AN55" s="212">
        <v>0.47753530166880598</v>
      </c>
      <c r="AO55" s="212">
        <v>0.11938382541720199</v>
      </c>
      <c r="AP55" s="212">
        <v>1.66880616174583E-2</v>
      </c>
      <c r="AQ55" s="484">
        <f t="shared" si="70"/>
        <v>1.96439999342</v>
      </c>
      <c r="AR55" s="247" t="str">
        <f t="shared" si="187"/>
        <v>possible if water clarity improves</v>
      </c>
      <c r="AS55" s="221"/>
      <c r="AT55" s="197">
        <v>587906300</v>
      </c>
      <c r="AU55" s="197">
        <v>582443.87943999993</v>
      </c>
      <c r="AV55" s="197">
        <v>500656.70592000004</v>
      </c>
      <c r="AW55" s="197">
        <v>79782.156285860503</v>
      </c>
      <c r="AX55" s="197">
        <v>77864.422463947791</v>
      </c>
      <c r="AY55" s="197">
        <v>62411.36925571024</v>
      </c>
      <c r="AZ55" s="197">
        <v>30289.81</v>
      </c>
      <c r="BA55" s="214"/>
      <c r="BB55" s="197">
        <v>832791.6374455184</v>
      </c>
      <c r="BC55" s="241">
        <f t="shared" si="175"/>
        <v>751004.46392551856</v>
      </c>
      <c r="BD55" s="241">
        <f t="shared" si="176"/>
        <v>247.93964172291558</v>
      </c>
      <c r="BE55" s="241">
        <f t="shared" si="177"/>
        <v>751004.46392551856</v>
      </c>
      <c r="BF55" s="241">
        <f t="shared" si="86"/>
        <v>247.93964172291558</v>
      </c>
      <c r="BG55" s="248">
        <f t="shared" si="178"/>
        <v>66.664944080765551</v>
      </c>
      <c r="BH55" s="221"/>
      <c r="BI55" s="213">
        <f t="shared" si="71"/>
        <v>1280.5615</v>
      </c>
      <c r="BJ55" s="197">
        <v>5122246</v>
      </c>
      <c r="BK55" s="213">
        <v>0</v>
      </c>
      <c r="BL55" s="197">
        <f t="shared" si="82"/>
        <v>0</v>
      </c>
      <c r="BM55" s="197"/>
      <c r="BN55" s="221"/>
      <c r="BO55" s="241">
        <f t="shared" si="179"/>
        <v>3028.9810000000002</v>
      </c>
      <c r="BP55" s="241">
        <f t="shared" si="180"/>
        <v>11.813287838916782</v>
      </c>
      <c r="BQ55" s="242">
        <f t="shared" si="119"/>
        <v>15.26</v>
      </c>
      <c r="BR55" s="241">
        <f t="shared" si="181"/>
        <v>0</v>
      </c>
      <c r="BS55" s="244">
        <f t="shared" si="182"/>
        <v>8.4835645998468032E-3</v>
      </c>
      <c r="BT55" s="242">
        <f t="shared" si="183"/>
        <v>6.8606847522276189</v>
      </c>
      <c r="BU55" s="241">
        <f t="shared" si="184"/>
        <v>66.664944080765551</v>
      </c>
      <c r="BV55" s="221"/>
      <c r="CI55" s="221"/>
      <c r="CJ55" s="303" t="str">
        <f t="shared" si="120"/>
        <v>intermediate complexity hydrodynamics</v>
      </c>
      <c r="CK55" s="304">
        <f t="shared" si="121"/>
        <v>2</v>
      </c>
      <c r="CL55" s="303" t="str">
        <f t="shared" si="122"/>
        <v>complex water quality</v>
      </c>
      <c r="CM55" s="304">
        <f t="shared" si="123"/>
        <v>4</v>
      </c>
      <c r="CN55" s="303" t="str">
        <f t="shared" si="124"/>
        <v>deep</v>
      </c>
      <c r="CO55" s="304">
        <f t="shared" si="125"/>
        <v>3</v>
      </c>
      <c r="CP55" s="303" t="str">
        <f t="shared" si="126"/>
        <v>large</v>
      </c>
      <c r="CQ55" s="304">
        <f t="shared" si="127"/>
        <v>5</v>
      </c>
      <c r="CR55" s="303" t="str">
        <f t="shared" si="128"/>
        <v>low</v>
      </c>
      <c r="CS55" s="304">
        <f t="shared" si="129"/>
        <v>2</v>
      </c>
      <c r="CT55" s="303" t="str">
        <f t="shared" si="130"/>
        <v>none</v>
      </c>
      <c r="CU55" s="304">
        <f t="shared" si="131"/>
        <v>1</v>
      </c>
      <c r="CV55" s="304">
        <f t="shared" si="132"/>
        <v>163</v>
      </c>
      <c r="CW55" s="304" t="str">
        <f t="shared" si="133"/>
        <v>complex hydrodynamics</v>
      </c>
      <c r="CX55" s="304">
        <f t="shared" si="188"/>
        <v>143</v>
      </c>
      <c r="CY55" s="304" t="str">
        <f t="shared" si="134"/>
        <v>complex water quality</v>
      </c>
      <c r="CZ55" s="216" t="s">
        <v>625</v>
      </c>
      <c r="DA55" s="252" t="str">
        <f t="shared" si="185"/>
        <v>WASP</v>
      </c>
      <c r="DB55" s="251" t="str">
        <f t="shared" si="186"/>
        <v>complex hydrodynamics; complex water quality (WASP)</v>
      </c>
      <c r="DC55" s="227"/>
      <c r="DD55" s="475" t="str">
        <f t="shared" si="73"/>
        <v>New Haven Harbor</v>
      </c>
      <c r="DE55" s="475">
        <f t="shared" si="74"/>
        <v>48</v>
      </c>
      <c r="DF55" s="465">
        <f t="shared" si="135"/>
        <v>587.91</v>
      </c>
      <c r="DG55" s="466">
        <f t="shared" si="136"/>
        <v>30.29</v>
      </c>
      <c r="DH55" s="465">
        <f t="shared" si="137"/>
        <v>18.920000000000002</v>
      </c>
      <c r="DI55" s="465">
        <f t="shared" si="138"/>
        <v>1601.3</v>
      </c>
      <c r="DJ55" s="465">
        <f t="shared" si="139"/>
        <v>12</v>
      </c>
      <c r="DK55" s="465">
        <f t="shared" si="140"/>
        <v>3.9</v>
      </c>
      <c r="DL55" s="465">
        <f t="shared" si="141"/>
        <v>3.9</v>
      </c>
      <c r="DM55" s="465">
        <f t="shared" si="142"/>
        <v>15.3</v>
      </c>
      <c r="DN55" s="465">
        <f t="shared" si="143"/>
        <v>100</v>
      </c>
      <c r="DO55" s="465">
        <f t="shared" si="144"/>
        <v>89780024</v>
      </c>
      <c r="DP55" s="465">
        <f t="shared" si="145"/>
        <v>58422985</v>
      </c>
      <c r="DQ55" s="467">
        <f t="shared" si="146"/>
        <v>1.93</v>
      </c>
      <c r="DR55" s="467">
        <f t="shared" si="147"/>
        <v>0</v>
      </c>
      <c r="DS55" s="467">
        <f t="shared" si="148"/>
        <v>991270</v>
      </c>
      <c r="DT55" s="467">
        <f t="shared" si="149"/>
        <v>90.6</v>
      </c>
      <c r="DU55" s="467">
        <f t="shared" si="150"/>
        <v>1.5</v>
      </c>
      <c r="DV55" s="467">
        <f t="shared" si="151"/>
        <v>1280.56</v>
      </c>
      <c r="DW55" s="467">
        <f t="shared" si="152"/>
        <v>0</v>
      </c>
      <c r="DX55" s="467">
        <f t="shared" si="153"/>
        <v>48</v>
      </c>
      <c r="DY55" s="467">
        <f t="shared" si="154"/>
        <v>12</v>
      </c>
      <c r="DZ55" s="467">
        <f t="shared" si="155"/>
        <v>2</v>
      </c>
      <c r="EA55" s="467">
        <f t="shared" si="156"/>
        <v>751004</v>
      </c>
      <c r="EB55" s="467">
        <f t="shared" si="157"/>
        <v>248</v>
      </c>
      <c r="EC55" s="467">
        <f t="shared" si="158"/>
        <v>67</v>
      </c>
      <c r="ED55" s="467">
        <f t="shared" si="159"/>
        <v>8.4799999999999997E-3</v>
      </c>
      <c r="EE55" s="467">
        <f t="shared" si="160"/>
        <v>6.86</v>
      </c>
      <c r="EF55" s="138">
        <f t="shared" si="75"/>
        <v>1.96</v>
      </c>
      <c r="EG55" s="138" t="str">
        <f t="shared" si="76"/>
        <v>possible if water clarity improves</v>
      </c>
      <c r="EH55" s="138">
        <f t="shared" si="77"/>
        <v>3.38</v>
      </c>
      <c r="EI55" s="138">
        <f t="shared" si="78"/>
        <v>1.39</v>
      </c>
      <c r="EJ55" s="138">
        <f t="shared" si="79"/>
        <v>1.1100000000000001</v>
      </c>
    </row>
    <row r="56" spans="1:140" ht="44" customHeight="1" x14ac:dyDescent="0.35">
      <c r="A56" s="388">
        <v>49</v>
      </c>
      <c r="B56" s="215" t="s">
        <v>447</v>
      </c>
      <c r="C56" s="210">
        <v>49</v>
      </c>
      <c r="D56" s="196"/>
      <c r="E56" s="221"/>
      <c r="F56" s="197">
        <v>32102</v>
      </c>
      <c r="G56" s="197">
        <v>1870.4159999999999</v>
      </c>
      <c r="H56" s="241">
        <f t="shared" si="60"/>
        <v>17.163026834672074</v>
      </c>
      <c r="I56" s="241">
        <f t="shared" si="61"/>
        <v>108.97937863858948</v>
      </c>
      <c r="J56" s="212">
        <v>0</v>
      </c>
      <c r="K56" s="213">
        <v>0.79985047660581898</v>
      </c>
      <c r="L56" s="213">
        <v>0.75</v>
      </c>
      <c r="M56" s="213">
        <v>1.7664999842640001</v>
      </c>
      <c r="N56" s="241">
        <f t="shared" si="161"/>
        <v>3210.2000000000003</v>
      </c>
      <c r="O56" s="221"/>
      <c r="P56" s="241">
        <f t="shared" si="62"/>
        <v>17245.486557607568</v>
      </c>
      <c r="Q56" s="241">
        <f t="shared" si="162"/>
        <v>17245.486557607568</v>
      </c>
      <c r="R56" s="242">
        <f t="shared" si="163"/>
        <v>1.9329999685279999</v>
      </c>
      <c r="S56" s="213">
        <v>0.96649998426399997</v>
      </c>
      <c r="T56" s="241">
        <f t="shared" si="164"/>
        <v>62053.164989685851</v>
      </c>
      <c r="U56" s="197">
        <v>0</v>
      </c>
      <c r="V56" s="243">
        <f t="shared" si="165"/>
        <v>1.56008011640116</v>
      </c>
      <c r="W56" s="243">
        <f t="shared" si="166"/>
        <v>4.8935705178247995</v>
      </c>
      <c r="X56" s="241">
        <f t="shared" si="167"/>
        <v>124106.3299793717</v>
      </c>
      <c r="Y56" s="242">
        <f t="shared" si="168"/>
        <v>5.1733058265981804E-2</v>
      </c>
      <c r="Z56" s="243">
        <f t="shared" si="169"/>
        <v>0.18614725593716996</v>
      </c>
      <c r="AA56" s="243">
        <f t="shared" si="170"/>
        <v>0.13895734859353284</v>
      </c>
      <c r="AB56" s="245">
        <f t="shared" si="171"/>
        <v>0.16375193226005982</v>
      </c>
      <c r="AC56" s="245">
        <f t="shared" si="65"/>
        <v>3.9281101699547194</v>
      </c>
      <c r="AD56" s="245">
        <f t="shared" si="172"/>
        <v>19.329999685279997</v>
      </c>
      <c r="AE56" s="245">
        <f t="shared" si="173"/>
        <v>0.14378225653080826</v>
      </c>
      <c r="AF56" s="221"/>
      <c r="AG56" s="211">
        <v>-72.985949000000005</v>
      </c>
      <c r="AH56" s="242">
        <f>(AG56^2*-0.304-43.623*AG56-1561.6)*0.4012-0.2907</f>
        <v>0.86220147618938414</v>
      </c>
      <c r="AI56" s="242">
        <f t="shared" si="66"/>
        <v>1.3917860652518967</v>
      </c>
      <c r="AJ56" s="242">
        <f t="shared" si="67"/>
        <v>3.3088204437185609</v>
      </c>
      <c r="AK56" s="242">
        <f t="shared" si="68"/>
        <v>1.3630830428974909</v>
      </c>
      <c r="AL56" s="242">
        <f t="shared" si="69"/>
        <v>1.0879026385105648</v>
      </c>
      <c r="AM56" s="213">
        <v>0.96649998426399997</v>
      </c>
      <c r="AN56" s="212">
        <v>0.99981309575727395</v>
      </c>
      <c r="AO56" s="212">
        <v>0.87483645878761496</v>
      </c>
      <c r="AP56" s="212">
        <v>0.68737150333312602</v>
      </c>
      <c r="AQ56" s="484">
        <f t="shared" si="70"/>
        <v>1.9664999842639999</v>
      </c>
      <c r="AR56" s="247" t="str">
        <f t="shared" si="187"/>
        <v>unlikely, too shallow</v>
      </c>
      <c r="AS56" s="221"/>
      <c r="AT56" s="197">
        <v>9817899</v>
      </c>
      <c r="AU56" s="197">
        <v>0</v>
      </c>
      <c r="AV56" s="197">
        <v>0</v>
      </c>
      <c r="AW56" s="197">
        <v>4283.1798590112285</v>
      </c>
      <c r="AX56" s="197">
        <v>1952.1294328813262</v>
      </c>
      <c r="AY56" s="197">
        <v>2181.1097846433854</v>
      </c>
      <c r="AZ56" s="197">
        <v>32.102000000000004</v>
      </c>
      <c r="BA56" s="214"/>
      <c r="BB56" s="197">
        <v>8448.5210765359407</v>
      </c>
      <c r="BC56" s="241">
        <f t="shared" si="175"/>
        <v>8448.5210765359407</v>
      </c>
      <c r="BD56" s="241">
        <f t="shared" si="176"/>
        <v>2631.7740566120306</v>
      </c>
      <c r="BE56" s="241">
        <f t="shared" si="177"/>
        <v>8448.5210765359407</v>
      </c>
      <c r="BF56" s="241">
        <f t="shared" si="86"/>
        <v>2631.7740566120306</v>
      </c>
      <c r="BG56" s="248">
        <f t="shared" si="178"/>
        <v>0</v>
      </c>
      <c r="BH56" s="221"/>
      <c r="BI56" s="213">
        <f t="shared" si="71"/>
        <v>45.636700000000005</v>
      </c>
      <c r="BJ56" s="197">
        <v>182546.80000000002</v>
      </c>
      <c r="BK56" s="213">
        <v>0</v>
      </c>
      <c r="BL56" s="197">
        <f t="shared" si="82"/>
        <v>0</v>
      </c>
      <c r="BM56" s="197"/>
      <c r="BN56" s="221"/>
      <c r="BO56" s="241">
        <f t="shared" si="179"/>
        <v>3.2101999999999999</v>
      </c>
      <c r="BP56" s="241">
        <f t="shared" si="180"/>
        <v>108.97937863858948</v>
      </c>
      <c r="BQ56" s="242">
        <f t="shared" si="119"/>
        <v>1.7664999842640001</v>
      </c>
      <c r="BR56" s="241">
        <f t="shared" si="181"/>
        <v>0</v>
      </c>
      <c r="BS56" s="244">
        <f t="shared" si="182"/>
        <v>0.13895734859353284</v>
      </c>
      <c r="BT56" s="242">
        <f t="shared" si="183"/>
        <v>3.9281101699547194</v>
      </c>
      <c r="BU56" s="241">
        <f t="shared" si="184"/>
        <v>0</v>
      </c>
      <c r="BV56" s="221"/>
      <c r="CI56" s="221"/>
      <c r="CJ56" s="303" t="str">
        <f t="shared" si="120"/>
        <v>complex hydrodynamics</v>
      </c>
      <c r="CK56" s="304">
        <f t="shared" si="121"/>
        <v>3</v>
      </c>
      <c r="CL56" s="303" t="str">
        <f t="shared" si="122"/>
        <v>intermediate or complex water quality</v>
      </c>
      <c r="CM56" s="304">
        <f t="shared" si="123"/>
        <v>3</v>
      </c>
      <c r="CN56" s="303" t="str">
        <f t="shared" si="124"/>
        <v>shallow</v>
      </c>
      <c r="CO56" s="304">
        <f t="shared" si="125"/>
        <v>1</v>
      </c>
      <c r="CP56" s="303" t="str">
        <f t="shared" si="126"/>
        <v>tiny</v>
      </c>
      <c r="CQ56" s="304">
        <f t="shared" si="127"/>
        <v>1</v>
      </c>
      <c r="CR56" s="303" t="str">
        <f t="shared" si="128"/>
        <v>very high</v>
      </c>
      <c r="CS56" s="304">
        <f t="shared" si="129"/>
        <v>5</v>
      </c>
      <c r="CT56" s="303" t="str">
        <f t="shared" si="130"/>
        <v>none</v>
      </c>
      <c r="CU56" s="304">
        <f t="shared" si="131"/>
        <v>1</v>
      </c>
      <c r="CV56" s="304">
        <f t="shared" si="132"/>
        <v>116</v>
      </c>
      <c r="CW56" s="304" t="str">
        <f t="shared" si="133"/>
        <v>intermediate complexity hydrodynamics</v>
      </c>
      <c r="CX56" s="304">
        <f t="shared" si="188"/>
        <v>75</v>
      </c>
      <c r="CY56" s="304" t="str">
        <f t="shared" si="134"/>
        <v>intermediate complexity water quality</v>
      </c>
      <c r="CZ56" s="216" t="s">
        <v>626</v>
      </c>
      <c r="DA56" s="252" t="str">
        <f t="shared" si="185"/>
        <v>-</v>
      </c>
      <c r="DB56" s="251" t="str">
        <f t="shared" si="186"/>
        <v>intermediate complexity hydrodynamics; intermediate complexity water quality</v>
      </c>
      <c r="DC56" s="227"/>
      <c r="DD56" s="475" t="str">
        <f t="shared" si="73"/>
        <v>Oyster River, Milford</v>
      </c>
      <c r="DE56" s="475">
        <f t="shared" si="74"/>
        <v>49</v>
      </c>
      <c r="DF56" s="465">
        <f t="shared" si="135"/>
        <v>9.82</v>
      </c>
      <c r="DG56" s="466">
        <f t="shared" si="136"/>
        <v>0.03</v>
      </c>
      <c r="DH56" s="465">
        <f t="shared" si="137"/>
        <v>1.87</v>
      </c>
      <c r="DI56" s="465">
        <f t="shared" si="138"/>
        <v>17.2</v>
      </c>
      <c r="DJ56" s="465">
        <f t="shared" si="139"/>
        <v>109</v>
      </c>
      <c r="DK56" s="465">
        <f t="shared" si="140"/>
        <v>0.8</v>
      </c>
      <c r="DL56" s="465">
        <f t="shared" si="141"/>
        <v>0.8</v>
      </c>
      <c r="DM56" s="465">
        <f t="shared" si="142"/>
        <v>1.8</v>
      </c>
      <c r="DN56" s="465">
        <f t="shared" si="143"/>
        <v>0</v>
      </c>
      <c r="DO56" s="465">
        <f t="shared" si="144"/>
        <v>3210</v>
      </c>
      <c r="DP56" s="465">
        <f t="shared" si="145"/>
        <v>62053</v>
      </c>
      <c r="DQ56" s="467">
        <f t="shared" si="146"/>
        <v>1.93</v>
      </c>
      <c r="DR56" s="467">
        <f t="shared" si="147"/>
        <v>0</v>
      </c>
      <c r="DS56" s="467">
        <f t="shared" si="148"/>
        <v>17245</v>
      </c>
      <c r="DT56" s="467">
        <f t="shared" si="149"/>
        <v>0.2</v>
      </c>
      <c r="DU56" s="467">
        <f t="shared" si="150"/>
        <v>0.1</v>
      </c>
      <c r="DV56" s="467">
        <f t="shared" si="151"/>
        <v>45.64</v>
      </c>
      <c r="DW56" s="467">
        <f t="shared" si="152"/>
        <v>0</v>
      </c>
      <c r="DX56" s="467">
        <f t="shared" si="153"/>
        <v>100</v>
      </c>
      <c r="DY56" s="467">
        <f t="shared" si="154"/>
        <v>87</v>
      </c>
      <c r="DZ56" s="467">
        <f t="shared" si="155"/>
        <v>69</v>
      </c>
      <c r="EA56" s="467">
        <f t="shared" si="156"/>
        <v>8449</v>
      </c>
      <c r="EB56" s="467">
        <f t="shared" si="157"/>
        <v>2632</v>
      </c>
      <c r="EC56" s="467">
        <f t="shared" si="158"/>
        <v>0</v>
      </c>
      <c r="ED56" s="467">
        <f t="shared" si="159"/>
        <v>0.13896</v>
      </c>
      <c r="EE56" s="467">
        <f t="shared" si="160"/>
        <v>3.93</v>
      </c>
      <c r="EF56" s="138">
        <f t="shared" si="75"/>
        <v>1.97</v>
      </c>
      <c r="EG56" s="138" t="str">
        <f t="shared" si="76"/>
        <v>unlikely, too shallow</v>
      </c>
      <c r="EH56" s="138">
        <f t="shared" si="77"/>
        <v>3.31</v>
      </c>
      <c r="EI56" s="138">
        <f t="shared" si="78"/>
        <v>1.36</v>
      </c>
      <c r="EJ56" s="138">
        <f t="shared" si="79"/>
        <v>1.0900000000000001</v>
      </c>
    </row>
    <row r="57" spans="1:140" ht="44" customHeight="1" x14ac:dyDescent="0.35">
      <c r="A57" s="388">
        <v>50</v>
      </c>
      <c r="B57" s="215" t="s">
        <v>448</v>
      </c>
      <c r="C57" s="210">
        <v>50</v>
      </c>
      <c r="D57" s="196"/>
      <c r="E57" s="221"/>
      <c r="F57" s="197">
        <v>11241</v>
      </c>
      <c r="G57" s="197">
        <v>1123.922</v>
      </c>
      <c r="H57" s="241">
        <f t="shared" si="60"/>
        <v>10.001583739796889</v>
      </c>
      <c r="I57" s="241">
        <f t="shared" si="61"/>
        <v>112.37440281861046</v>
      </c>
      <c r="J57" s="212">
        <v>0</v>
      </c>
      <c r="K57" s="213">
        <v>0.80049817631883302</v>
      </c>
      <c r="L57" s="213">
        <v>0.75</v>
      </c>
      <c r="M57" s="213">
        <v>1.8067000389100001</v>
      </c>
      <c r="N57" s="241">
        <f t="shared" si="161"/>
        <v>1124.1000000000001</v>
      </c>
      <c r="O57" s="221"/>
      <c r="P57" s="241">
        <f t="shared" si="62"/>
        <v>4777.357329212211</v>
      </c>
      <c r="Q57" s="241">
        <f t="shared" si="162"/>
        <v>4777.357329212211</v>
      </c>
      <c r="R57" s="242">
        <f t="shared" si="163"/>
        <v>2.0134000778200001</v>
      </c>
      <c r="S57" s="213">
        <v>1.00670003891</v>
      </c>
      <c r="T57" s="241">
        <f t="shared" si="164"/>
        <v>22632.630274774619</v>
      </c>
      <c r="U57" s="197">
        <v>0</v>
      </c>
      <c r="V57" s="243">
        <f t="shared" si="165"/>
        <v>0.97538452710611523</v>
      </c>
      <c r="W57" s="243">
        <f t="shared" si="166"/>
        <v>3.0532701135067835</v>
      </c>
      <c r="X57" s="241">
        <f t="shared" si="167"/>
        <v>45265.260549549239</v>
      </c>
      <c r="Y57" s="242">
        <f t="shared" si="168"/>
        <v>4.966722764224514E-2</v>
      </c>
      <c r="Z57" s="243">
        <f t="shared" si="169"/>
        <v>0.23529745056465451</v>
      </c>
      <c r="AA57" s="243">
        <f t="shared" si="170"/>
        <v>0.10554136375693048</v>
      </c>
      <c r="AB57" s="245">
        <f t="shared" si="171"/>
        <v>0.10385618026595911</v>
      </c>
      <c r="AC57" s="245">
        <f t="shared" si="65"/>
        <v>3.2801098567429143</v>
      </c>
      <c r="AD57" s="245">
        <f t="shared" si="172"/>
        <v>20.134000778199997</v>
      </c>
      <c r="AE57" s="245">
        <f t="shared" si="173"/>
        <v>0.10920599444293501</v>
      </c>
      <c r="AF57" s="221"/>
      <c r="AG57" s="211">
        <v>-73.028143</v>
      </c>
      <c r="AH57" s="242">
        <f>(AG57^2*-0.304-43.623*AG57-1561.6)*0.4012-0.2907</f>
        <v>0.84924657102104195</v>
      </c>
      <c r="AI57" s="242">
        <f t="shared" si="66"/>
        <v>1.4130171859949345</v>
      </c>
      <c r="AJ57" s="242">
        <f t="shared" si="67"/>
        <v>3.2591041578489337</v>
      </c>
      <c r="AK57" s="242">
        <f t="shared" si="68"/>
        <v>1.3426022016498547</v>
      </c>
      <c r="AL57" s="242">
        <f t="shared" si="69"/>
        <v>1.0715564875197516</v>
      </c>
      <c r="AM57" s="213">
        <v>1.00670003891</v>
      </c>
      <c r="AN57" s="212">
        <v>1.0006227203985401</v>
      </c>
      <c r="AO57" s="212">
        <v>0.813005960323815</v>
      </c>
      <c r="AP57" s="212">
        <v>0.68792812027399697</v>
      </c>
      <c r="AQ57" s="484">
        <f t="shared" si="70"/>
        <v>2.00670003891</v>
      </c>
      <c r="AR57" s="247" t="str">
        <f t="shared" si="187"/>
        <v>unlikely, too shallow</v>
      </c>
      <c r="AS57" s="221"/>
      <c r="AT57" s="197">
        <v>2684724</v>
      </c>
      <c r="AU57" s="197">
        <v>0</v>
      </c>
      <c r="AV57" s="197">
        <v>0</v>
      </c>
      <c r="AW57" s="197">
        <v>768.704370314843</v>
      </c>
      <c r="AX57" s="197">
        <v>677.92613748410122</v>
      </c>
      <c r="AY57" s="197">
        <v>439.11931954101834</v>
      </c>
      <c r="AZ57" s="197">
        <v>11.241</v>
      </c>
      <c r="BA57" s="214"/>
      <c r="BB57" s="197">
        <v>1896.9908273399624</v>
      </c>
      <c r="BC57" s="241">
        <f t="shared" si="175"/>
        <v>1896.9908273399624</v>
      </c>
      <c r="BD57" s="241">
        <f t="shared" si="176"/>
        <v>1687.5641200426676</v>
      </c>
      <c r="BE57" s="241">
        <f t="shared" si="177"/>
        <v>1896.9908273399624</v>
      </c>
      <c r="BF57" s="241">
        <f t="shared" si="86"/>
        <v>1687.5641200426676</v>
      </c>
      <c r="BG57" s="248">
        <f t="shared" si="178"/>
        <v>0</v>
      </c>
      <c r="BH57" s="221"/>
      <c r="BI57" s="213">
        <f t="shared" si="71"/>
        <v>50.144449999999999</v>
      </c>
      <c r="BJ57" s="197">
        <v>200577.8</v>
      </c>
      <c r="BK57" s="213">
        <v>0</v>
      </c>
      <c r="BL57" s="197">
        <f t="shared" si="82"/>
        <v>0</v>
      </c>
      <c r="BM57" s="197"/>
      <c r="BN57" s="221"/>
      <c r="BO57" s="241">
        <f t="shared" si="179"/>
        <v>1.1241000000000001</v>
      </c>
      <c r="BP57" s="241">
        <f t="shared" si="180"/>
        <v>112.37440281861046</v>
      </c>
      <c r="BQ57" s="242">
        <f t="shared" si="119"/>
        <v>1.8067000389100001</v>
      </c>
      <c r="BR57" s="241">
        <f t="shared" si="181"/>
        <v>0</v>
      </c>
      <c r="BS57" s="244">
        <f t="shared" si="182"/>
        <v>0.10554136375693048</v>
      </c>
      <c r="BT57" s="242">
        <f t="shared" si="183"/>
        <v>3.2801098567429143</v>
      </c>
      <c r="BU57" s="241">
        <f t="shared" si="184"/>
        <v>0</v>
      </c>
      <c r="BV57" s="221"/>
      <c r="CI57" s="221"/>
      <c r="CJ57" s="303" t="str">
        <f t="shared" si="120"/>
        <v>complex hydrodynamics</v>
      </c>
      <c r="CK57" s="304">
        <f t="shared" si="121"/>
        <v>3</v>
      </c>
      <c r="CL57" s="303" t="str">
        <f t="shared" si="122"/>
        <v>intermediate or complex water quality</v>
      </c>
      <c r="CM57" s="304">
        <f t="shared" si="123"/>
        <v>3</v>
      </c>
      <c r="CN57" s="303" t="str">
        <f t="shared" si="124"/>
        <v>shallow</v>
      </c>
      <c r="CO57" s="304">
        <f t="shared" si="125"/>
        <v>1</v>
      </c>
      <c r="CP57" s="303" t="str">
        <f t="shared" si="126"/>
        <v>tiny</v>
      </c>
      <c r="CQ57" s="304">
        <f t="shared" si="127"/>
        <v>1</v>
      </c>
      <c r="CR57" s="303" t="str">
        <f t="shared" si="128"/>
        <v>very high</v>
      </c>
      <c r="CS57" s="304">
        <f t="shared" si="129"/>
        <v>5</v>
      </c>
      <c r="CT57" s="303" t="str">
        <f t="shared" si="130"/>
        <v>none</v>
      </c>
      <c r="CU57" s="304">
        <f t="shared" si="131"/>
        <v>1</v>
      </c>
      <c r="CV57" s="304">
        <f t="shared" si="132"/>
        <v>116</v>
      </c>
      <c r="CW57" s="304" t="str">
        <f t="shared" si="133"/>
        <v>intermediate complexity hydrodynamics</v>
      </c>
      <c r="CX57" s="304">
        <f t="shared" si="188"/>
        <v>75</v>
      </c>
      <c r="CY57" s="304" t="str">
        <f t="shared" si="134"/>
        <v>intermediate complexity water quality</v>
      </c>
      <c r="CZ57" s="216" t="s">
        <v>626</v>
      </c>
      <c r="DA57" s="252" t="str">
        <f t="shared" si="185"/>
        <v>-</v>
      </c>
      <c r="DB57" s="251" t="str">
        <f t="shared" si="186"/>
        <v>intermediate complexity hydrodynamics; intermediate complexity water quality</v>
      </c>
      <c r="DC57" s="227"/>
      <c r="DD57" s="475" t="str">
        <f t="shared" si="73"/>
        <v>Calf Pen Meadow Creek</v>
      </c>
      <c r="DE57" s="475">
        <f t="shared" si="74"/>
        <v>50</v>
      </c>
      <c r="DF57" s="465">
        <f t="shared" si="135"/>
        <v>2.68</v>
      </c>
      <c r="DG57" s="466">
        <f t="shared" si="136"/>
        <v>0.01</v>
      </c>
      <c r="DH57" s="465">
        <f t="shared" si="137"/>
        <v>1.1200000000000001</v>
      </c>
      <c r="DI57" s="465">
        <f t="shared" si="138"/>
        <v>10</v>
      </c>
      <c r="DJ57" s="465">
        <f t="shared" si="139"/>
        <v>112</v>
      </c>
      <c r="DK57" s="465">
        <f t="shared" si="140"/>
        <v>0.8</v>
      </c>
      <c r="DL57" s="465">
        <f t="shared" si="141"/>
        <v>0.8</v>
      </c>
      <c r="DM57" s="465">
        <f t="shared" si="142"/>
        <v>1.8</v>
      </c>
      <c r="DN57" s="465">
        <f t="shared" si="143"/>
        <v>0</v>
      </c>
      <c r="DO57" s="465">
        <f t="shared" si="144"/>
        <v>1124</v>
      </c>
      <c r="DP57" s="465">
        <f t="shared" si="145"/>
        <v>22633</v>
      </c>
      <c r="DQ57" s="467">
        <f t="shared" si="146"/>
        <v>2.0099999999999998</v>
      </c>
      <c r="DR57" s="467">
        <f t="shared" si="147"/>
        <v>0</v>
      </c>
      <c r="DS57" s="467">
        <f t="shared" si="148"/>
        <v>4777</v>
      </c>
      <c r="DT57" s="467">
        <f t="shared" si="149"/>
        <v>0.2</v>
      </c>
      <c r="DU57" s="467">
        <f t="shared" si="150"/>
        <v>0</v>
      </c>
      <c r="DV57" s="467">
        <f t="shared" si="151"/>
        <v>50.14</v>
      </c>
      <c r="DW57" s="467">
        <f t="shared" si="152"/>
        <v>0</v>
      </c>
      <c r="DX57" s="467">
        <f t="shared" si="153"/>
        <v>100</v>
      </c>
      <c r="DY57" s="467">
        <f t="shared" si="154"/>
        <v>81</v>
      </c>
      <c r="DZ57" s="467">
        <f t="shared" si="155"/>
        <v>69</v>
      </c>
      <c r="EA57" s="467">
        <f t="shared" si="156"/>
        <v>1897</v>
      </c>
      <c r="EB57" s="467">
        <f t="shared" si="157"/>
        <v>1688</v>
      </c>
      <c r="EC57" s="467">
        <f t="shared" si="158"/>
        <v>0</v>
      </c>
      <c r="ED57" s="467">
        <f t="shared" si="159"/>
        <v>0.10553999999999999</v>
      </c>
      <c r="EE57" s="467">
        <f t="shared" si="160"/>
        <v>3.28</v>
      </c>
      <c r="EF57" s="138">
        <f t="shared" si="75"/>
        <v>2.0099999999999998</v>
      </c>
      <c r="EG57" s="138" t="str">
        <f t="shared" si="76"/>
        <v>unlikely, too shallow</v>
      </c>
      <c r="EH57" s="138">
        <f t="shared" si="77"/>
        <v>3.26</v>
      </c>
      <c r="EI57" s="138">
        <f t="shared" si="78"/>
        <v>1.34</v>
      </c>
      <c r="EJ57" s="138">
        <f t="shared" si="79"/>
        <v>1.07</v>
      </c>
    </row>
    <row r="58" spans="1:140" ht="44" customHeight="1" x14ac:dyDescent="0.35">
      <c r="A58" s="388">
        <v>51</v>
      </c>
      <c r="B58" s="215" t="s">
        <v>449</v>
      </c>
      <c r="C58" s="210">
        <v>51</v>
      </c>
      <c r="D58" s="196"/>
      <c r="E58" s="221"/>
      <c r="F58" s="197">
        <v>3725718</v>
      </c>
      <c r="G58" s="197">
        <v>6195.3980000000001</v>
      </c>
      <c r="H58" s="241">
        <f t="shared" si="60"/>
        <v>601.36862877897431</v>
      </c>
      <c r="I58" s="241">
        <f t="shared" si="61"/>
        <v>10.302163604009751</v>
      </c>
      <c r="J58" s="212">
        <v>0.67551220999549622</v>
      </c>
      <c r="K58" s="213">
        <v>2.5192189843808301</v>
      </c>
      <c r="L58" s="213">
        <v>2.15</v>
      </c>
      <c r="M58" s="213">
        <v>6.71</v>
      </c>
      <c r="N58" s="241">
        <f t="shared" si="161"/>
        <v>5610629.6826665075</v>
      </c>
      <c r="O58" s="221"/>
      <c r="P58" s="241">
        <f t="shared" si="62"/>
        <v>148169.73216355807</v>
      </c>
      <c r="Q58" s="241">
        <f t="shared" si="162"/>
        <v>148169.73216355807</v>
      </c>
      <c r="R58" s="242">
        <f t="shared" si="163"/>
        <v>2.0265998840399999</v>
      </c>
      <c r="S58" s="213">
        <v>1.01329994202</v>
      </c>
      <c r="T58" s="241">
        <f t="shared" si="164"/>
        <v>7550539.6667657401</v>
      </c>
      <c r="U58" s="197">
        <v>2</v>
      </c>
      <c r="V58" s="243">
        <f t="shared" si="165"/>
        <v>4.315937035043814</v>
      </c>
      <c r="W58" s="243">
        <f t="shared" si="166"/>
        <v>13.698516283382782</v>
      </c>
      <c r="X58" s="241">
        <f t="shared" si="167"/>
        <v>15101079.33353148</v>
      </c>
      <c r="Y58" s="242">
        <f t="shared" si="168"/>
        <v>0.74307664488700187</v>
      </c>
      <c r="Z58" s="243">
        <f t="shared" si="169"/>
        <v>37.866233546762302</v>
      </c>
      <c r="AA58" s="243">
        <f t="shared" si="170"/>
        <v>9.8118637013284056E-3</v>
      </c>
      <c r="AB58" s="245">
        <f t="shared" si="171"/>
        <v>8.9474584945922996E-3</v>
      </c>
      <c r="AC58" s="245">
        <f t="shared" si="65"/>
        <v>3.0396734561858092</v>
      </c>
      <c r="AD58" s="245">
        <f t="shared" si="172"/>
        <v>1.3457561974001591</v>
      </c>
      <c r="AE58" s="245">
        <f t="shared" si="173"/>
        <v>1.0152553413180086E-2</v>
      </c>
      <c r="AF58" s="221"/>
      <c r="AG58" s="211">
        <v>-73.051240000000007</v>
      </c>
      <c r="AH58" s="242">
        <f>(AG58^2*-0.304-43.623*AG58-1561.6)*0.4012-0.2907</f>
        <v>0.8419711284636191</v>
      </c>
      <c r="AI58" s="242">
        <f t="shared" si="66"/>
        <v>1.425227017213395</v>
      </c>
      <c r="AJ58" s="242">
        <f t="shared" si="67"/>
        <v>3.2311836152195061</v>
      </c>
      <c r="AK58" s="242">
        <f t="shared" si="68"/>
        <v>1.3311002120877078</v>
      </c>
      <c r="AL58" s="242">
        <f t="shared" si="69"/>
        <v>1.0623765297336274</v>
      </c>
      <c r="AM58" s="213">
        <v>1.01329994202</v>
      </c>
      <c r="AN58" s="212">
        <v>0.67475176994469699</v>
      </c>
      <c r="AO58" s="212">
        <v>0.37206056078185801</v>
      </c>
      <c r="AP58" s="212">
        <v>0.223084248458955</v>
      </c>
      <c r="AQ58" s="484">
        <f t="shared" si="70"/>
        <v>2.0132999420199997</v>
      </c>
      <c r="AR58" s="247" t="str">
        <f t="shared" si="187"/>
        <v>possible if water clarity improves</v>
      </c>
      <c r="AS58" s="221"/>
      <c r="AT58" s="197">
        <v>86206060</v>
      </c>
      <c r="AU58" s="197">
        <v>0</v>
      </c>
      <c r="AV58" s="197">
        <v>0</v>
      </c>
      <c r="AW58" s="197">
        <v>20889.728204571002</v>
      </c>
      <c r="AX58" s="197">
        <v>15364.727095000426</v>
      </c>
      <c r="AY58" s="197">
        <v>9821.1651279160433</v>
      </c>
      <c r="AZ58" s="197">
        <v>3725.7180000000003</v>
      </c>
      <c r="BA58" s="214"/>
      <c r="BB58" s="197">
        <v>49801.33842748747</v>
      </c>
      <c r="BC58" s="241">
        <f t="shared" si="175"/>
        <v>49801.33842748747</v>
      </c>
      <c r="BD58" s="241">
        <f t="shared" si="176"/>
        <v>133.66910331776981</v>
      </c>
      <c r="BE58" s="241">
        <f t="shared" si="177"/>
        <v>49801.33842748747</v>
      </c>
      <c r="BF58" s="241">
        <f t="shared" si="86"/>
        <v>133.66910331776981</v>
      </c>
      <c r="BG58" s="248">
        <f t="shared" si="178"/>
        <v>0</v>
      </c>
      <c r="BH58" s="221"/>
      <c r="BI58" s="213">
        <f t="shared" si="71"/>
        <v>311.31925000000001</v>
      </c>
      <c r="BJ58" s="197">
        <v>1245277</v>
      </c>
      <c r="BK58" s="213">
        <v>0</v>
      </c>
      <c r="BL58" s="197">
        <f t="shared" si="82"/>
        <v>0</v>
      </c>
      <c r="BM58" s="197"/>
      <c r="BN58" s="221"/>
      <c r="BO58" s="241">
        <f t="shared" si="179"/>
        <v>372.5718</v>
      </c>
      <c r="BP58" s="241">
        <f t="shared" si="180"/>
        <v>10.302163604009751</v>
      </c>
      <c r="BQ58" s="242">
        <f t="shared" si="119"/>
        <v>6.71</v>
      </c>
      <c r="BR58" s="241">
        <f t="shared" si="181"/>
        <v>2</v>
      </c>
      <c r="BS58" s="244">
        <f t="shared" si="182"/>
        <v>9.8118637013284056E-3</v>
      </c>
      <c r="BT58" s="242">
        <f t="shared" si="183"/>
        <v>3.0396734561858092</v>
      </c>
      <c r="BU58" s="241">
        <f t="shared" si="184"/>
        <v>0</v>
      </c>
      <c r="BV58" s="221"/>
      <c r="CI58" s="221"/>
      <c r="CJ58" s="303" t="str">
        <f t="shared" si="120"/>
        <v>intermediate complexity hydrodynamics</v>
      </c>
      <c r="CK58" s="304">
        <f t="shared" si="121"/>
        <v>2</v>
      </c>
      <c r="CL58" s="303" t="str">
        <f t="shared" si="122"/>
        <v>intermediate or complex water quality</v>
      </c>
      <c r="CM58" s="304">
        <f t="shared" si="123"/>
        <v>3</v>
      </c>
      <c r="CN58" s="303" t="str">
        <f t="shared" si="124"/>
        <v>moderate</v>
      </c>
      <c r="CO58" s="304">
        <f t="shared" si="125"/>
        <v>2</v>
      </c>
      <c r="CP58" s="303" t="str">
        <f t="shared" si="126"/>
        <v>mid-size</v>
      </c>
      <c r="CQ58" s="304">
        <f t="shared" si="127"/>
        <v>4</v>
      </c>
      <c r="CR58" s="303" t="str">
        <f t="shared" si="128"/>
        <v>low</v>
      </c>
      <c r="CS58" s="304">
        <f t="shared" si="129"/>
        <v>2</v>
      </c>
      <c r="CT58" s="303" t="str">
        <f t="shared" si="130"/>
        <v>mid-estuary</v>
      </c>
      <c r="CU58" s="304">
        <f t="shared" si="131"/>
        <v>3</v>
      </c>
      <c r="CV58" s="304">
        <f t="shared" si="132"/>
        <v>135</v>
      </c>
      <c r="CW58" s="304" t="str">
        <f t="shared" si="133"/>
        <v>intermediate complexity hydrodynamics</v>
      </c>
      <c r="CX58" s="304">
        <f t="shared" si="188"/>
        <v>106</v>
      </c>
      <c r="CY58" s="304" t="str">
        <f t="shared" si="134"/>
        <v>intermediate complexity water quality</v>
      </c>
      <c r="CZ58" s="216" t="s">
        <v>402</v>
      </c>
      <c r="DA58" s="252" t="str">
        <f t="shared" si="185"/>
        <v>-</v>
      </c>
      <c r="DB58" s="251" t="str">
        <f t="shared" si="186"/>
        <v>intermediate complexity hydrodynamics; intermediate complexity water quality</v>
      </c>
      <c r="DC58" s="227"/>
      <c r="DD58" s="475" t="str">
        <f t="shared" si="73"/>
        <v>Milford Harbor</v>
      </c>
      <c r="DE58" s="475">
        <f t="shared" si="74"/>
        <v>51</v>
      </c>
      <c r="DF58" s="465">
        <f t="shared" si="135"/>
        <v>86.21</v>
      </c>
      <c r="DG58" s="466">
        <f t="shared" si="136"/>
        <v>3.73</v>
      </c>
      <c r="DH58" s="465">
        <f t="shared" si="137"/>
        <v>6.2</v>
      </c>
      <c r="DI58" s="465">
        <f t="shared" si="138"/>
        <v>601.4</v>
      </c>
      <c r="DJ58" s="465">
        <f t="shared" si="139"/>
        <v>10</v>
      </c>
      <c r="DK58" s="465">
        <f t="shared" si="140"/>
        <v>2.5</v>
      </c>
      <c r="DL58" s="465">
        <f t="shared" si="141"/>
        <v>2.2000000000000002</v>
      </c>
      <c r="DM58" s="465">
        <f t="shared" si="142"/>
        <v>6.7</v>
      </c>
      <c r="DN58" s="465">
        <f t="shared" si="143"/>
        <v>68</v>
      </c>
      <c r="DO58" s="465">
        <f t="shared" si="144"/>
        <v>5610630</v>
      </c>
      <c r="DP58" s="465">
        <f t="shared" si="145"/>
        <v>7550540</v>
      </c>
      <c r="DQ58" s="467">
        <f t="shared" si="146"/>
        <v>2.0299999999999998</v>
      </c>
      <c r="DR58" s="467">
        <f t="shared" si="147"/>
        <v>2</v>
      </c>
      <c r="DS58" s="467">
        <f t="shared" si="148"/>
        <v>148170</v>
      </c>
      <c r="DT58" s="467">
        <f t="shared" si="149"/>
        <v>37.9</v>
      </c>
      <c r="DU58" s="467">
        <f t="shared" si="150"/>
        <v>0.7</v>
      </c>
      <c r="DV58" s="467">
        <f t="shared" si="151"/>
        <v>311.32</v>
      </c>
      <c r="DW58" s="467">
        <f t="shared" si="152"/>
        <v>0</v>
      </c>
      <c r="DX58" s="467">
        <f t="shared" si="153"/>
        <v>67</v>
      </c>
      <c r="DY58" s="467">
        <f t="shared" si="154"/>
        <v>37</v>
      </c>
      <c r="DZ58" s="467">
        <f t="shared" si="155"/>
        <v>22</v>
      </c>
      <c r="EA58" s="467">
        <f t="shared" si="156"/>
        <v>49801</v>
      </c>
      <c r="EB58" s="467">
        <f t="shared" si="157"/>
        <v>134</v>
      </c>
      <c r="EC58" s="467">
        <f t="shared" si="158"/>
        <v>0</v>
      </c>
      <c r="ED58" s="467">
        <f t="shared" si="159"/>
        <v>9.8099999999999993E-3</v>
      </c>
      <c r="EE58" s="467">
        <f t="shared" si="160"/>
        <v>3.04</v>
      </c>
      <c r="EF58" s="138">
        <f t="shared" si="75"/>
        <v>2.0099999999999998</v>
      </c>
      <c r="EG58" s="138" t="str">
        <f t="shared" si="76"/>
        <v>possible if water clarity improves</v>
      </c>
      <c r="EH58" s="138">
        <f t="shared" si="77"/>
        <v>3.23</v>
      </c>
      <c r="EI58" s="138">
        <f t="shared" si="78"/>
        <v>1.33</v>
      </c>
      <c r="EJ58" s="138">
        <f t="shared" si="79"/>
        <v>1.06</v>
      </c>
    </row>
    <row r="59" spans="1:140" s="295" customFormat="1" ht="44" hidden="1" customHeight="1" x14ac:dyDescent="0.35">
      <c r="A59" s="390">
        <v>52</v>
      </c>
      <c r="B59" s="249" t="s">
        <v>225</v>
      </c>
      <c r="C59" s="282">
        <v>52</v>
      </c>
      <c r="D59" s="250"/>
      <c r="E59" s="283"/>
      <c r="F59" s="285"/>
      <c r="G59" s="285"/>
      <c r="H59" s="285" t="e">
        <f t="shared" si="60"/>
        <v>#DIV/0!</v>
      </c>
      <c r="I59" s="285"/>
      <c r="J59" s="286"/>
      <c r="K59" s="284">
        <v>2.8464809384164198</v>
      </c>
      <c r="L59" s="284">
        <v>2.4500000000000002</v>
      </c>
      <c r="M59" s="284"/>
      <c r="N59" s="285"/>
      <c r="O59" s="283"/>
      <c r="P59" s="285">
        <f t="shared" si="62"/>
        <v>0</v>
      </c>
      <c r="Q59" s="285"/>
      <c r="R59" s="284"/>
      <c r="S59" s="284"/>
      <c r="T59" s="285"/>
      <c r="U59" s="285"/>
      <c r="V59" s="287"/>
      <c r="W59" s="287"/>
      <c r="X59" s="285"/>
      <c r="Y59" s="284"/>
      <c r="Z59" s="287"/>
      <c r="AA59" s="287"/>
      <c r="AB59" s="289"/>
      <c r="AC59" s="289"/>
      <c r="AD59" s="289"/>
      <c r="AE59" s="289"/>
      <c r="AF59" s="283"/>
      <c r="AG59" s="283"/>
      <c r="AH59" s="296"/>
      <c r="AI59" s="296"/>
      <c r="AJ59" s="296">
        <v>0</v>
      </c>
      <c r="AK59" s="296">
        <v>0</v>
      </c>
      <c r="AL59" s="296">
        <v>0</v>
      </c>
      <c r="AM59" s="296"/>
      <c r="AN59" s="286">
        <v>0</v>
      </c>
      <c r="AO59" s="286">
        <v>0</v>
      </c>
      <c r="AP59" s="286">
        <v>0</v>
      </c>
      <c r="AQ59" s="485">
        <f t="shared" si="70"/>
        <v>1</v>
      </c>
      <c r="AR59" s="290" t="str">
        <f t="shared" si="187"/>
        <v>unlikely, too shallow</v>
      </c>
      <c r="AS59" s="283"/>
      <c r="AT59" s="285"/>
      <c r="AU59" s="285"/>
      <c r="AV59" s="285"/>
      <c r="AW59" s="285">
        <v>33625.974675418081</v>
      </c>
      <c r="AX59" s="285">
        <v>17803.359199578452</v>
      </c>
      <c r="AY59" s="285">
        <v>14051.985423364937</v>
      </c>
      <c r="AZ59" s="285">
        <v>7617.3320000000003</v>
      </c>
      <c r="BA59" s="291"/>
      <c r="BB59" s="285"/>
      <c r="BC59" s="285"/>
      <c r="BD59" s="285"/>
      <c r="BE59" s="285"/>
      <c r="BF59" s="285"/>
      <c r="BG59" s="292"/>
      <c r="BH59" s="283"/>
      <c r="BI59" s="284">
        <f t="shared" si="71"/>
        <v>0</v>
      </c>
      <c r="BJ59" s="285"/>
      <c r="BK59" s="284"/>
      <c r="BL59" s="285"/>
      <c r="BM59" s="285"/>
      <c r="BN59" s="283"/>
      <c r="BO59" s="285"/>
      <c r="BP59" s="285"/>
      <c r="BQ59" s="284">
        <f t="shared" si="119"/>
        <v>0</v>
      </c>
      <c r="BR59" s="285"/>
      <c r="BS59" s="288"/>
      <c r="BT59" s="284"/>
      <c r="BU59" s="285"/>
      <c r="BV59" s="283"/>
      <c r="BW59" s="138"/>
      <c r="BX59" s="138"/>
      <c r="BY59" s="138"/>
      <c r="BZ59" s="138"/>
      <c r="CA59" s="138"/>
      <c r="CB59" s="138"/>
      <c r="CC59" s="138"/>
      <c r="CD59" s="138"/>
      <c r="CE59" s="138"/>
      <c r="CF59" s="138"/>
      <c r="CG59" s="138"/>
      <c r="CH59" s="138"/>
      <c r="CI59" s="283"/>
      <c r="CJ59" s="303" t="str">
        <f t="shared" si="120"/>
        <v>simple complexity hydrodynamics</v>
      </c>
      <c r="CK59" s="304">
        <f t="shared" si="121"/>
        <v>1</v>
      </c>
      <c r="CL59" s="303" t="str">
        <f t="shared" si="122"/>
        <v>simple complexity water quality</v>
      </c>
      <c r="CM59" s="304">
        <f t="shared" si="123"/>
        <v>1</v>
      </c>
      <c r="CN59" s="303" t="str">
        <f t="shared" si="124"/>
        <v>shallow</v>
      </c>
      <c r="CO59" s="304">
        <f t="shared" si="125"/>
        <v>1</v>
      </c>
      <c r="CP59" s="303" t="str">
        <f t="shared" si="126"/>
        <v>tiny</v>
      </c>
      <c r="CQ59" s="304">
        <f t="shared" si="127"/>
        <v>1</v>
      </c>
      <c r="CR59" s="303" t="str">
        <f t="shared" si="128"/>
        <v>very low</v>
      </c>
      <c r="CS59" s="304">
        <f t="shared" si="129"/>
        <v>1</v>
      </c>
      <c r="CT59" s="303" t="str">
        <f t="shared" si="130"/>
        <v>none</v>
      </c>
      <c r="CU59" s="304">
        <f t="shared" si="131"/>
        <v>1</v>
      </c>
      <c r="CV59" s="304">
        <f t="shared" si="132"/>
        <v>52</v>
      </c>
      <c r="CW59" s="304" t="str">
        <f t="shared" si="133"/>
        <v>simple complexity hydrodynamics</v>
      </c>
      <c r="CX59" s="304">
        <f t="shared" si="188"/>
        <v>41</v>
      </c>
      <c r="CY59" s="304" t="str">
        <f t="shared" si="134"/>
        <v>simple complexity water quality</v>
      </c>
      <c r="CZ59" s="349"/>
      <c r="DA59" s="250"/>
      <c r="DB59" s="249" t="str">
        <f t="shared" si="186"/>
        <v>simple complexity hydrodynamics; simple complexity water quality</v>
      </c>
      <c r="DC59" s="294"/>
      <c r="DD59" s="475" t="str">
        <f t="shared" si="73"/>
        <v>Housatonic River</v>
      </c>
      <c r="DE59" s="475">
        <f t="shared" si="74"/>
        <v>52</v>
      </c>
      <c r="DF59" s="468">
        <f t="shared" si="135"/>
        <v>0</v>
      </c>
      <c r="DG59" s="480">
        <f t="shared" si="136"/>
        <v>0</v>
      </c>
      <c r="DH59" s="468">
        <f t="shared" si="137"/>
        <v>0</v>
      </c>
      <c r="DI59" s="468" t="e">
        <f t="shared" si="138"/>
        <v>#DIV/0!</v>
      </c>
      <c r="DJ59" s="468">
        <f t="shared" si="139"/>
        <v>0</v>
      </c>
      <c r="DK59" s="468">
        <f t="shared" si="140"/>
        <v>2.8</v>
      </c>
      <c r="DL59" s="468">
        <f t="shared" si="141"/>
        <v>2.5</v>
      </c>
      <c r="DM59" s="468">
        <f t="shared" si="142"/>
        <v>0</v>
      </c>
      <c r="DN59" s="468">
        <f t="shared" si="143"/>
        <v>0</v>
      </c>
      <c r="DO59" s="468">
        <f t="shared" si="144"/>
        <v>0</v>
      </c>
      <c r="DP59" s="468">
        <f t="shared" si="145"/>
        <v>0</v>
      </c>
      <c r="DQ59" s="467">
        <f t="shared" si="146"/>
        <v>0</v>
      </c>
      <c r="DR59" s="468">
        <f t="shared" si="147"/>
        <v>0</v>
      </c>
      <c r="DS59" s="468">
        <f t="shared" si="148"/>
        <v>0</v>
      </c>
      <c r="DT59" s="468">
        <f t="shared" si="149"/>
        <v>0</v>
      </c>
      <c r="DU59" s="468">
        <f t="shared" si="150"/>
        <v>0</v>
      </c>
      <c r="DV59" s="468">
        <f t="shared" si="151"/>
        <v>0</v>
      </c>
      <c r="DW59" s="468">
        <f t="shared" si="152"/>
        <v>0</v>
      </c>
      <c r="DX59" s="468">
        <f t="shared" si="153"/>
        <v>0</v>
      </c>
      <c r="DY59" s="468">
        <f t="shared" si="154"/>
        <v>0</v>
      </c>
      <c r="DZ59" s="468">
        <f t="shared" si="155"/>
        <v>0</v>
      </c>
      <c r="EA59" s="468">
        <f t="shared" si="156"/>
        <v>0</v>
      </c>
      <c r="EB59" s="468">
        <f t="shared" si="157"/>
        <v>0</v>
      </c>
      <c r="EC59" s="468">
        <f t="shared" si="158"/>
        <v>0</v>
      </c>
      <c r="ED59" s="468">
        <f t="shared" si="159"/>
        <v>0</v>
      </c>
      <c r="EE59" s="468">
        <f t="shared" si="160"/>
        <v>0</v>
      </c>
      <c r="EF59" s="295">
        <f t="shared" si="75"/>
        <v>1</v>
      </c>
      <c r="EG59" s="295" t="str">
        <f t="shared" si="76"/>
        <v>unlikely, too shallow</v>
      </c>
      <c r="EH59" s="295">
        <f t="shared" si="77"/>
        <v>0</v>
      </c>
      <c r="EI59" s="295">
        <f t="shared" si="78"/>
        <v>0</v>
      </c>
      <c r="EJ59" s="295">
        <f t="shared" si="79"/>
        <v>0</v>
      </c>
    </row>
    <row r="60" spans="1:140" s="275" customFormat="1" ht="44" customHeight="1" x14ac:dyDescent="0.35">
      <c r="A60" s="389">
        <v>53</v>
      </c>
      <c r="B60" s="281" t="s">
        <v>450</v>
      </c>
      <c r="C60" s="257">
        <v>53</v>
      </c>
      <c r="D60" s="256" t="s">
        <v>398</v>
      </c>
      <c r="E60" s="258"/>
      <c r="F60" s="259">
        <v>1035037</v>
      </c>
      <c r="G60" s="259">
        <v>4060.6770000000001</v>
      </c>
      <c r="H60" s="260">
        <f t="shared" si="60"/>
        <v>254.89271862795292</v>
      </c>
      <c r="I60" s="260">
        <f t="shared" si="61"/>
        <v>15.930925849345483</v>
      </c>
      <c r="J60" s="261">
        <v>0.25217552609230393</v>
      </c>
      <c r="K60" s="262">
        <v>1.09110290785236</v>
      </c>
      <c r="L60" s="262">
        <v>1.05</v>
      </c>
      <c r="M60" s="262">
        <v>3.75</v>
      </c>
      <c r="N60" s="260">
        <f>F60*MAX(0.1,(K60-S60))</f>
        <v>103503.70000000001</v>
      </c>
      <c r="O60" s="258"/>
      <c r="P60" s="260">
        <f t="shared" si="62"/>
        <v>15116.166945959583</v>
      </c>
      <c r="Q60" s="260">
        <f>P60</f>
        <v>15116.166945959583</v>
      </c>
      <c r="R60" s="263">
        <f t="shared" ref="R60:R96" si="189">S60*2</f>
        <v>2.0941998958600001</v>
      </c>
      <c r="S60" s="262">
        <v>1.0470999479300001</v>
      </c>
      <c r="T60" s="260">
        <f t="shared" ref="T60:T96" si="190">F60*R60</f>
        <v>2167574.3776112469</v>
      </c>
      <c r="U60" s="259">
        <v>0</v>
      </c>
      <c r="V60" s="264">
        <f t="shared" ref="V60:V96" si="191">(22.05*(G60/1000)+2.57106*(F60/1000/1000)-1.11*(G60/1000)^2) / 24</f>
        <v>3.0790071514197841</v>
      </c>
      <c r="W60" s="264">
        <f t="shared" ref="W60:W96" si="192">(68.83*(G60/1000)+7.78344*(F60/1000/1000)-3.3*(G60/1000)^2) / 24</f>
        <v>9.7141051621997629</v>
      </c>
      <c r="X60" s="260">
        <f t="shared" ref="X60:X96" si="193">T60*2</f>
        <v>4335148.7552224938</v>
      </c>
      <c r="Y60" s="263">
        <f t="shared" ref="Y60:Y96" si="194">N60/T60</f>
        <v>4.7750933517707109E-2</v>
      </c>
      <c r="Z60" s="264">
        <f t="shared" ref="Z60:Z96" si="195">N60/Q60</f>
        <v>6.8472186348580673</v>
      </c>
      <c r="AA60" s="264">
        <f t="shared" ref="AA60:AA96" si="196">Q60/X60</f>
        <v>3.4868854102755634E-3</v>
      </c>
      <c r="AB60" s="266">
        <f t="shared" ref="AB60:AB96" si="197">BE60/(Q60+X60)*1000/365</f>
        <v>2.814994094495574E-3</v>
      </c>
      <c r="AC60" s="266">
        <f t="shared" si="65"/>
        <v>2.6910301154912433</v>
      </c>
      <c r="AD60" s="266">
        <f t="shared" ref="AD60:AD96" si="198">T60/N60</f>
        <v>20.941998958599999</v>
      </c>
      <c r="AE60" s="266">
        <f t="shared" ref="AE60:AE96" si="199">(Q60/24/60/60)*44700/T60</f>
        <v>3.6079578203545765E-3</v>
      </c>
      <c r="AF60" s="258"/>
      <c r="AG60" s="267">
        <v>-73.176366000000002</v>
      </c>
      <c r="AH60" s="263">
        <f>(AG60^2*-0.304-43.623*AG60-1561.6)*0.4012-0.2907</f>
        <v>0.80029502121699392</v>
      </c>
      <c r="AI60" s="263">
        <f t="shared" si="66"/>
        <v>1.4994470391371197</v>
      </c>
      <c r="AJ60" s="263">
        <f t="shared" si="67"/>
        <v>3.071245643086006</v>
      </c>
      <c r="AK60" s="263">
        <f t="shared" si="68"/>
        <v>1.2652130654628579</v>
      </c>
      <c r="AL60" s="263">
        <f t="shared" si="69"/>
        <v>1.0097907382584876</v>
      </c>
      <c r="AM60" s="262">
        <v>1.0470999479300001</v>
      </c>
      <c r="AN60" s="261">
        <v>0.96711333696913404</v>
      </c>
      <c r="AO60" s="261">
        <v>0.65146870825999903</v>
      </c>
      <c r="AP60" s="261">
        <v>0.467393919251196</v>
      </c>
      <c r="AQ60" s="481">
        <f t="shared" si="70"/>
        <v>2.0470999479300001</v>
      </c>
      <c r="AR60" s="268" t="str">
        <f t="shared" si="187"/>
        <v>possible if water clarity improves</v>
      </c>
      <c r="AS60" s="258"/>
      <c r="AT60" s="259">
        <v>8594224</v>
      </c>
      <c r="AU60" s="259">
        <v>0</v>
      </c>
      <c r="AV60" s="259">
        <v>0</v>
      </c>
      <c r="AW60" s="259">
        <v>603.12242791151152</v>
      </c>
      <c r="AX60" s="259">
        <v>502.85990189173776</v>
      </c>
      <c r="AY60" s="259">
        <v>2328.7597440660884</v>
      </c>
      <c r="AZ60" s="259">
        <v>1035.037</v>
      </c>
      <c r="BA60" s="269"/>
      <c r="BB60" s="259">
        <v>4469.7790738693375</v>
      </c>
      <c r="BC60" s="260">
        <f>BB60-AU60+AV60</f>
        <v>4469.7790738693375</v>
      </c>
      <c r="BD60" s="260">
        <f t="shared" ref="BD60:BD96" si="200">BC60/F60*10000</f>
        <v>43.184727443263739</v>
      </c>
      <c r="BE60" s="260">
        <f>BC60</f>
        <v>4469.7790738693375</v>
      </c>
      <c r="BF60" s="260">
        <f t="shared" si="86"/>
        <v>43.184727443263739</v>
      </c>
      <c r="BG60" s="270">
        <f>AV60/BE60*100</f>
        <v>0</v>
      </c>
      <c r="BH60" s="258"/>
      <c r="BI60" s="262">
        <f t="shared" si="71"/>
        <v>462.18900000000002</v>
      </c>
      <c r="BJ60" s="259">
        <v>1848756</v>
      </c>
      <c r="BK60" s="262">
        <v>0</v>
      </c>
      <c r="BL60" s="259">
        <f t="shared" si="82"/>
        <v>0</v>
      </c>
      <c r="BM60" s="259"/>
      <c r="BN60" s="258"/>
      <c r="BO60" s="260">
        <f t="shared" ref="BO60:BO96" si="201">F60/10000</f>
        <v>103.50369999999999</v>
      </c>
      <c r="BP60" s="260">
        <f t="shared" ref="BP60:BP96" si="202">I60</f>
        <v>15.930925849345483</v>
      </c>
      <c r="BQ60" s="263">
        <f t="shared" si="119"/>
        <v>3.75</v>
      </c>
      <c r="BR60" s="260">
        <f t="shared" ref="BR60:BR96" si="203">IF(U60&gt;6,U60-10,U60)</f>
        <v>0</v>
      </c>
      <c r="BS60" s="265">
        <f t="shared" ref="BS60:BS96" si="204">AA60</f>
        <v>3.4868854102755634E-3</v>
      </c>
      <c r="BT60" s="263">
        <f t="shared" ref="BT60:BT96" si="205">AC60</f>
        <v>2.6910301154912433</v>
      </c>
      <c r="BU60" s="260">
        <f t="shared" ref="BU60:BU96" si="206">BG60</f>
        <v>0</v>
      </c>
      <c r="BV60" s="258"/>
      <c r="BW60" s="138"/>
      <c r="BX60" s="138"/>
      <c r="BY60" s="138"/>
      <c r="BZ60" s="138"/>
      <c r="CA60" s="138"/>
      <c r="CB60" s="138"/>
      <c r="CC60" s="138"/>
      <c r="CD60" s="138"/>
      <c r="CE60" s="138"/>
      <c r="CF60" s="138"/>
      <c r="CG60" s="138"/>
      <c r="CH60" s="138"/>
      <c r="CI60" s="258"/>
      <c r="CJ60" s="312" t="str">
        <f t="shared" si="120"/>
        <v>intermediate complexity hydrodynamics</v>
      </c>
      <c r="CK60" s="313">
        <f t="shared" si="121"/>
        <v>2</v>
      </c>
      <c r="CL60" s="312" t="str">
        <f t="shared" si="122"/>
        <v>intermediate or complex water quality</v>
      </c>
      <c r="CM60" s="313">
        <f t="shared" si="123"/>
        <v>3</v>
      </c>
      <c r="CN60" s="312" t="str">
        <f t="shared" si="124"/>
        <v>moderate</v>
      </c>
      <c r="CO60" s="313">
        <f t="shared" si="125"/>
        <v>2</v>
      </c>
      <c r="CP60" s="312" t="str">
        <f t="shared" si="126"/>
        <v>mid-size</v>
      </c>
      <c r="CQ60" s="313">
        <f t="shared" si="127"/>
        <v>4</v>
      </c>
      <c r="CR60" s="312" t="str">
        <f t="shared" si="128"/>
        <v>low</v>
      </c>
      <c r="CS60" s="313">
        <f t="shared" si="129"/>
        <v>2</v>
      </c>
      <c r="CT60" s="312" t="str">
        <f t="shared" si="130"/>
        <v>none</v>
      </c>
      <c r="CU60" s="313">
        <f t="shared" si="131"/>
        <v>1</v>
      </c>
      <c r="CV60" s="313">
        <f t="shared" si="132"/>
        <v>133</v>
      </c>
      <c r="CW60" s="313" t="str">
        <f t="shared" si="133"/>
        <v>intermediate complexity hydrodynamics</v>
      </c>
      <c r="CX60" s="313">
        <f t="shared" si="188"/>
        <v>104</v>
      </c>
      <c r="CY60" s="313" t="str">
        <f t="shared" si="134"/>
        <v>intermediate complexity water quality</v>
      </c>
      <c r="CZ60" s="216" t="s">
        <v>402</v>
      </c>
      <c r="DA60" s="272" t="str">
        <f t="shared" ref="DA60:DA71" si="207">IF(BU60&gt;0,"WASP","-")</f>
        <v>-</v>
      </c>
      <c r="DB60" s="271" t="str">
        <f t="shared" si="186"/>
        <v>intermediate complexity hydrodynamics; intermediate complexity water quality</v>
      </c>
      <c r="DC60" s="274"/>
      <c r="DD60" s="475" t="str">
        <f t="shared" si="73"/>
        <v>Lewis Gut</v>
      </c>
      <c r="DE60" s="475">
        <f t="shared" si="74"/>
        <v>53</v>
      </c>
      <c r="DF60" s="464">
        <f t="shared" si="135"/>
        <v>8.59</v>
      </c>
      <c r="DG60" s="479">
        <f t="shared" si="136"/>
        <v>1.04</v>
      </c>
      <c r="DH60" s="464">
        <f t="shared" si="137"/>
        <v>4.0599999999999996</v>
      </c>
      <c r="DI60" s="464">
        <f t="shared" si="138"/>
        <v>254.9</v>
      </c>
      <c r="DJ60" s="464">
        <f t="shared" si="139"/>
        <v>16</v>
      </c>
      <c r="DK60" s="464">
        <f t="shared" si="140"/>
        <v>1.1000000000000001</v>
      </c>
      <c r="DL60" s="464">
        <f t="shared" si="141"/>
        <v>1.1000000000000001</v>
      </c>
      <c r="DM60" s="464">
        <f t="shared" si="142"/>
        <v>3.8</v>
      </c>
      <c r="DN60" s="464">
        <f t="shared" si="143"/>
        <v>25</v>
      </c>
      <c r="DO60" s="464">
        <f t="shared" si="144"/>
        <v>103504</v>
      </c>
      <c r="DP60" s="464">
        <f t="shared" si="145"/>
        <v>2167574</v>
      </c>
      <c r="DQ60" s="467">
        <f t="shared" si="146"/>
        <v>2.09</v>
      </c>
      <c r="DR60" s="464">
        <f t="shared" si="147"/>
        <v>0</v>
      </c>
      <c r="DS60" s="464">
        <f t="shared" si="148"/>
        <v>15116</v>
      </c>
      <c r="DT60" s="464">
        <f t="shared" si="149"/>
        <v>6.8</v>
      </c>
      <c r="DU60" s="464">
        <f t="shared" si="150"/>
        <v>0</v>
      </c>
      <c r="DV60" s="464">
        <f t="shared" si="151"/>
        <v>462.19</v>
      </c>
      <c r="DW60" s="464">
        <f t="shared" si="152"/>
        <v>0</v>
      </c>
      <c r="DX60" s="464">
        <f t="shared" si="153"/>
        <v>97</v>
      </c>
      <c r="DY60" s="464">
        <f t="shared" si="154"/>
        <v>65</v>
      </c>
      <c r="DZ60" s="464">
        <f t="shared" si="155"/>
        <v>47</v>
      </c>
      <c r="EA60" s="464">
        <f t="shared" si="156"/>
        <v>4470</v>
      </c>
      <c r="EB60" s="464">
        <f t="shared" si="157"/>
        <v>43</v>
      </c>
      <c r="EC60" s="464">
        <f t="shared" si="158"/>
        <v>0</v>
      </c>
      <c r="ED60" s="464">
        <f t="shared" si="159"/>
        <v>3.49E-3</v>
      </c>
      <c r="EE60" s="464">
        <f t="shared" si="160"/>
        <v>2.69</v>
      </c>
      <c r="EF60" s="275">
        <f t="shared" si="75"/>
        <v>2.0499999999999998</v>
      </c>
      <c r="EG60" s="275" t="str">
        <f t="shared" si="76"/>
        <v>possible if water clarity improves</v>
      </c>
      <c r="EH60" s="275">
        <f t="shared" si="77"/>
        <v>3.07</v>
      </c>
      <c r="EI60" s="275">
        <f t="shared" si="78"/>
        <v>1.27</v>
      </c>
      <c r="EJ60" s="275">
        <f t="shared" si="79"/>
        <v>1.01</v>
      </c>
    </row>
    <row r="61" spans="1:140" s="275" customFormat="1" ht="44" customHeight="1" x14ac:dyDescent="0.35">
      <c r="A61" s="389">
        <v>54</v>
      </c>
      <c r="B61" s="281" t="s">
        <v>451</v>
      </c>
      <c r="C61" s="257">
        <v>54</v>
      </c>
      <c r="D61" s="256" t="s">
        <v>399</v>
      </c>
      <c r="E61" s="258"/>
      <c r="F61" s="259">
        <v>2477592</v>
      </c>
      <c r="G61" s="259">
        <v>3763.6210000000001</v>
      </c>
      <c r="H61" s="260">
        <f t="shared" si="60"/>
        <v>658.30007856795351</v>
      </c>
      <c r="I61" s="260">
        <f t="shared" si="61"/>
        <v>5.7171814534600536</v>
      </c>
      <c r="J61" s="261">
        <v>0.69367635994949939</v>
      </c>
      <c r="K61" s="262">
        <v>4.3437810811956696</v>
      </c>
      <c r="L61" s="262">
        <v>2.75</v>
      </c>
      <c r="M61" s="262">
        <v>15.34</v>
      </c>
      <c r="N61" s="260">
        <f>F61*MAX(0.1,(K61-S61))</f>
        <v>8194341.0055370741</v>
      </c>
      <c r="O61" s="258"/>
      <c r="P61" s="260">
        <f t="shared" si="62"/>
        <v>191242.78558323882</v>
      </c>
      <c r="Q61" s="453">
        <f>P61+P60+P62</f>
        <v>355573.19036569283</v>
      </c>
      <c r="R61" s="263">
        <f t="shared" si="189"/>
        <v>2.0727999210400001</v>
      </c>
      <c r="S61" s="262">
        <v>1.0363999605200001</v>
      </c>
      <c r="T61" s="260">
        <f t="shared" si="190"/>
        <v>5135552.5019693356</v>
      </c>
      <c r="U61" s="259">
        <v>0</v>
      </c>
      <c r="V61" s="264">
        <f t="shared" si="191"/>
        <v>3.0681210405166035</v>
      </c>
      <c r="W61" s="264">
        <f t="shared" si="192"/>
        <v>9.6495933375860279</v>
      </c>
      <c r="X61" s="260">
        <f t="shared" si="193"/>
        <v>10271105.003938671</v>
      </c>
      <c r="Y61" s="263">
        <f t="shared" si="194"/>
        <v>1.5956104046049149</v>
      </c>
      <c r="Z61" s="264">
        <f t="shared" si="195"/>
        <v>23.045441072510336</v>
      </c>
      <c r="AA61" s="264">
        <f t="shared" si="196"/>
        <v>3.4618786413861104E-2</v>
      </c>
      <c r="AB61" s="266">
        <f t="shared" si="197"/>
        <v>3.3864120966680004E-2</v>
      </c>
      <c r="AC61" s="266">
        <f t="shared" si="65"/>
        <v>3.2606689868559409</v>
      </c>
      <c r="AD61" s="266">
        <f t="shared" si="198"/>
        <v>0.6267194028780525</v>
      </c>
      <c r="AE61" s="266">
        <f t="shared" si="199"/>
        <v>3.5820827608786833E-2</v>
      </c>
      <c r="AF61" s="258"/>
      <c r="AG61" s="267">
        <v>-73.176366000000002</v>
      </c>
      <c r="AH61" s="263">
        <f>(AG61^2*-0.304-43.623*AG61-1561.6)*0.4012-0.2907</f>
        <v>0.80029502121699392</v>
      </c>
      <c r="AI61" s="263">
        <f t="shared" si="66"/>
        <v>1.4994470391371197</v>
      </c>
      <c r="AJ61" s="263">
        <f t="shared" si="67"/>
        <v>3.071245643086006</v>
      </c>
      <c r="AK61" s="263">
        <f t="shared" si="68"/>
        <v>1.2652130654628579</v>
      </c>
      <c r="AL61" s="263">
        <f t="shared" si="69"/>
        <v>1.0097907382584876</v>
      </c>
      <c r="AM61" s="262">
        <v>1.0363999605200001</v>
      </c>
      <c r="AN61" s="261">
        <v>0.54006200989403896</v>
      </c>
      <c r="AO61" s="261">
        <v>0.263967550470113</v>
      </c>
      <c r="AP61" s="261">
        <v>0.191452022770497</v>
      </c>
      <c r="AQ61" s="481">
        <f t="shared" si="70"/>
        <v>2.0363999605199998</v>
      </c>
      <c r="AR61" s="268" t="str">
        <f t="shared" si="187"/>
        <v>possible if water clarity improves</v>
      </c>
      <c r="AS61" s="258"/>
      <c r="AT61" s="259">
        <v>111553400</v>
      </c>
      <c r="AU61" s="259">
        <v>0</v>
      </c>
      <c r="AV61" s="259">
        <v>0</v>
      </c>
      <c r="AW61" s="259">
        <v>19646.589279446202</v>
      </c>
      <c r="AX61" s="259">
        <v>12073.636726803119</v>
      </c>
      <c r="AY61" s="259">
        <v>15085.692112854533</v>
      </c>
      <c r="AZ61" s="259">
        <v>2477.5920000000001</v>
      </c>
      <c r="BA61" s="269"/>
      <c r="BB61" s="259">
        <v>49283.510119103856</v>
      </c>
      <c r="BC61" s="260">
        <f>BB61-AU61+AV61</f>
        <v>49283.510119103856</v>
      </c>
      <c r="BD61" s="260">
        <f t="shared" si="200"/>
        <v>198.91697308961224</v>
      </c>
      <c r="BE61" s="453">
        <f>(BC61+BC60+BC62)</f>
        <v>131350.03728375482</v>
      </c>
      <c r="BF61" s="453">
        <f>(BC61+BC60+BC62)/SUM(F60:F62)*10000</f>
        <v>353.61802771318588</v>
      </c>
      <c r="BG61" s="280">
        <f>(AV61+AV62+AV60)/BE61*100</f>
        <v>30.797167159745996</v>
      </c>
      <c r="BH61" s="258"/>
      <c r="BI61" s="262">
        <f t="shared" si="71"/>
        <v>17.7254775</v>
      </c>
      <c r="BJ61" s="259">
        <v>70901.91</v>
      </c>
      <c r="BK61" s="262">
        <v>0</v>
      </c>
      <c r="BL61" s="259">
        <f t="shared" si="82"/>
        <v>0</v>
      </c>
      <c r="BM61" s="259"/>
      <c r="BN61" s="258"/>
      <c r="BO61" s="260">
        <f t="shared" si="201"/>
        <v>247.75919999999999</v>
      </c>
      <c r="BP61" s="260">
        <f t="shared" si="202"/>
        <v>5.7171814534600536</v>
      </c>
      <c r="BQ61" s="263">
        <f t="shared" si="119"/>
        <v>15.34</v>
      </c>
      <c r="BR61" s="260">
        <f t="shared" si="203"/>
        <v>0</v>
      </c>
      <c r="BS61" s="265">
        <f t="shared" si="204"/>
        <v>3.4618786413861104E-2</v>
      </c>
      <c r="BT61" s="263">
        <f t="shared" si="205"/>
        <v>3.2606689868559409</v>
      </c>
      <c r="BU61" s="260">
        <f t="shared" si="206"/>
        <v>30.797167159745996</v>
      </c>
      <c r="BV61" s="258"/>
      <c r="BW61" s="138"/>
      <c r="BX61" s="138"/>
      <c r="BY61" s="138"/>
      <c r="BZ61" s="138"/>
      <c r="CA61" s="138"/>
      <c r="CB61" s="138"/>
      <c r="CC61" s="138"/>
      <c r="CD61" s="138"/>
      <c r="CE61" s="138"/>
      <c r="CF61" s="138"/>
      <c r="CG61" s="138"/>
      <c r="CH61" s="138"/>
      <c r="CI61" s="258"/>
      <c r="CJ61" s="312" t="str">
        <f t="shared" si="120"/>
        <v>intermediate complexity hydrodynamics</v>
      </c>
      <c r="CK61" s="313">
        <f t="shared" si="121"/>
        <v>2</v>
      </c>
      <c r="CL61" s="312" t="str">
        <f t="shared" si="122"/>
        <v>intermediate or complex water quality</v>
      </c>
      <c r="CM61" s="313">
        <f t="shared" si="123"/>
        <v>3</v>
      </c>
      <c r="CN61" s="312" t="str">
        <f t="shared" si="124"/>
        <v>deep</v>
      </c>
      <c r="CO61" s="313">
        <f t="shared" si="125"/>
        <v>3</v>
      </c>
      <c r="CP61" s="312" t="str">
        <f t="shared" si="126"/>
        <v>mid-size</v>
      </c>
      <c r="CQ61" s="313">
        <f t="shared" si="127"/>
        <v>4</v>
      </c>
      <c r="CR61" s="312" t="str">
        <f t="shared" si="128"/>
        <v>very low</v>
      </c>
      <c r="CS61" s="313">
        <f t="shared" si="129"/>
        <v>1</v>
      </c>
      <c r="CT61" s="312" t="str">
        <f t="shared" si="130"/>
        <v>none</v>
      </c>
      <c r="CU61" s="313">
        <f t="shared" si="131"/>
        <v>1</v>
      </c>
      <c r="CV61" s="313">
        <f t="shared" si="132"/>
        <v>142</v>
      </c>
      <c r="CW61" s="313" t="str">
        <f t="shared" si="133"/>
        <v>complex hydrodynamics</v>
      </c>
      <c r="CX61" s="313">
        <f t="shared" si="188"/>
        <v>123</v>
      </c>
      <c r="CY61" s="313" t="str">
        <f t="shared" si="134"/>
        <v>complex water quality</v>
      </c>
      <c r="CZ61" s="216" t="s">
        <v>633</v>
      </c>
      <c r="DA61" s="272" t="str">
        <f t="shared" si="207"/>
        <v>WASP</v>
      </c>
      <c r="DB61" s="271" t="str">
        <f t="shared" si="186"/>
        <v>complex hydrodynamics; complex water quality (WASP)</v>
      </c>
      <c r="DC61" s="274"/>
      <c r="DD61" s="475" t="str">
        <f t="shared" si="73"/>
        <v>Bridgeport Harbor</v>
      </c>
      <c r="DE61" s="475">
        <f t="shared" si="74"/>
        <v>54</v>
      </c>
      <c r="DF61" s="464">
        <f t="shared" si="135"/>
        <v>111.55</v>
      </c>
      <c r="DG61" s="479">
        <f t="shared" si="136"/>
        <v>2.48</v>
      </c>
      <c r="DH61" s="464">
        <f t="shared" si="137"/>
        <v>3.76</v>
      </c>
      <c r="DI61" s="464">
        <f t="shared" si="138"/>
        <v>658.3</v>
      </c>
      <c r="DJ61" s="464">
        <f t="shared" si="139"/>
        <v>6</v>
      </c>
      <c r="DK61" s="464">
        <f t="shared" si="140"/>
        <v>4.3</v>
      </c>
      <c r="DL61" s="464">
        <f t="shared" si="141"/>
        <v>2.8</v>
      </c>
      <c r="DM61" s="464">
        <f t="shared" si="142"/>
        <v>15.3</v>
      </c>
      <c r="DN61" s="464">
        <f t="shared" si="143"/>
        <v>69</v>
      </c>
      <c r="DO61" s="464">
        <f t="shared" si="144"/>
        <v>8194341</v>
      </c>
      <c r="DP61" s="464">
        <f t="shared" si="145"/>
        <v>5135553</v>
      </c>
      <c r="DQ61" s="467">
        <f t="shared" si="146"/>
        <v>2.0699999999999998</v>
      </c>
      <c r="DR61" s="464">
        <f t="shared" si="147"/>
        <v>0</v>
      </c>
      <c r="DS61" s="464">
        <f t="shared" si="148"/>
        <v>355573</v>
      </c>
      <c r="DT61" s="464">
        <f t="shared" si="149"/>
        <v>23</v>
      </c>
      <c r="DU61" s="464">
        <f t="shared" si="150"/>
        <v>1.6</v>
      </c>
      <c r="DV61" s="464">
        <f t="shared" si="151"/>
        <v>17.73</v>
      </c>
      <c r="DW61" s="464">
        <f t="shared" si="152"/>
        <v>0</v>
      </c>
      <c r="DX61" s="464">
        <f t="shared" si="153"/>
        <v>54</v>
      </c>
      <c r="DY61" s="464">
        <f t="shared" si="154"/>
        <v>26</v>
      </c>
      <c r="DZ61" s="464">
        <f t="shared" si="155"/>
        <v>19</v>
      </c>
      <c r="EA61" s="464">
        <f t="shared" si="156"/>
        <v>131350</v>
      </c>
      <c r="EB61" s="464">
        <f t="shared" si="157"/>
        <v>354</v>
      </c>
      <c r="EC61" s="464">
        <f t="shared" si="158"/>
        <v>31</v>
      </c>
      <c r="ED61" s="464">
        <f t="shared" si="159"/>
        <v>3.4619999999999998E-2</v>
      </c>
      <c r="EE61" s="464">
        <f t="shared" si="160"/>
        <v>3.26</v>
      </c>
      <c r="EF61" s="275">
        <f t="shared" si="75"/>
        <v>2.04</v>
      </c>
      <c r="EG61" s="275" t="str">
        <f t="shared" si="76"/>
        <v>possible if water clarity improves</v>
      </c>
      <c r="EH61" s="275">
        <f t="shared" si="77"/>
        <v>3.07</v>
      </c>
      <c r="EI61" s="275">
        <f t="shared" si="78"/>
        <v>1.27</v>
      </c>
      <c r="EJ61" s="275">
        <f t="shared" si="79"/>
        <v>1.01</v>
      </c>
    </row>
    <row r="62" spans="1:140" s="275" customFormat="1" ht="44" customHeight="1" x14ac:dyDescent="0.35">
      <c r="A62" s="389">
        <v>55</v>
      </c>
      <c r="B62" s="281" t="s">
        <v>232</v>
      </c>
      <c r="C62" s="257">
        <v>55</v>
      </c>
      <c r="D62" s="256" t="s">
        <v>398</v>
      </c>
      <c r="E62" s="258"/>
      <c r="F62" s="259">
        <v>201832</v>
      </c>
      <c r="G62" s="259">
        <v>2795.5650000000001</v>
      </c>
      <c r="H62" s="260">
        <f t="shared" si="60"/>
        <v>72.197212370307966</v>
      </c>
      <c r="I62" s="260">
        <f t="shared" si="61"/>
        <v>38.721231862266642</v>
      </c>
      <c r="J62" s="261">
        <v>0</v>
      </c>
      <c r="K62" s="262">
        <v>0.84996630861310396</v>
      </c>
      <c r="L62" s="262">
        <v>0.85</v>
      </c>
      <c r="M62" s="262">
        <v>1.97</v>
      </c>
      <c r="N62" s="260">
        <f>F62*MAX(0.1,(K62-S62))</f>
        <v>20183.2</v>
      </c>
      <c r="O62" s="258"/>
      <c r="P62" s="260">
        <f t="shared" si="62"/>
        <v>149214.23783649443</v>
      </c>
      <c r="Q62" s="260">
        <f t="shared" ref="Q62:Q69" si="208">P62</f>
        <v>149214.23783649443</v>
      </c>
      <c r="R62" s="263">
        <f t="shared" si="189"/>
        <v>2.1403999328599999</v>
      </c>
      <c r="S62" s="262">
        <v>1.0701999664299999</v>
      </c>
      <c r="T62" s="260">
        <f t="shared" si="190"/>
        <v>432001.19924899947</v>
      </c>
      <c r="U62" s="259">
        <v>0</v>
      </c>
      <c r="V62" s="264">
        <f t="shared" si="191"/>
        <v>2.2285948566283436</v>
      </c>
      <c r="W62" s="264">
        <f t="shared" si="192"/>
        <v>7.008315837651562</v>
      </c>
      <c r="X62" s="260">
        <f t="shared" si="193"/>
        <v>864002.39849799895</v>
      </c>
      <c r="Y62" s="263">
        <f t="shared" si="194"/>
        <v>4.6720240673143794E-2</v>
      </c>
      <c r="Z62" s="264">
        <f t="shared" si="195"/>
        <v>0.13526323152966335</v>
      </c>
      <c r="AA62" s="264">
        <f t="shared" si="196"/>
        <v>0.17270118473732457</v>
      </c>
      <c r="AB62" s="266">
        <f t="shared" si="197"/>
        <v>0.20982070641358816</v>
      </c>
      <c r="AC62" s="266">
        <f t="shared" si="65"/>
        <v>4.0497831892452796</v>
      </c>
      <c r="AD62" s="266">
        <f t="shared" si="198"/>
        <v>21.403999328599998</v>
      </c>
      <c r="AE62" s="266">
        <f t="shared" si="199"/>
        <v>0.17869775365181501</v>
      </c>
      <c r="AF62" s="258"/>
      <c r="AG62" s="267">
        <v>-73.176366000000002</v>
      </c>
      <c r="AH62" s="263">
        <f>(AG62^2*-0.304-43.623*AG62-1561.6)*0.4012-0.2907</f>
        <v>0.80029502121699392</v>
      </c>
      <c r="AI62" s="263">
        <f t="shared" si="66"/>
        <v>1.4994470391371197</v>
      </c>
      <c r="AJ62" s="263">
        <f t="shared" si="67"/>
        <v>3.071245643086006</v>
      </c>
      <c r="AK62" s="263">
        <f t="shared" si="68"/>
        <v>1.2652130654628579</v>
      </c>
      <c r="AL62" s="263">
        <f t="shared" si="69"/>
        <v>1.0097907382584876</v>
      </c>
      <c r="AM62" s="262">
        <v>1.0701999664299999</v>
      </c>
      <c r="AN62" s="261">
        <v>0.99996036307423997</v>
      </c>
      <c r="AO62" s="261">
        <v>0.76467557176265399</v>
      </c>
      <c r="AP62" s="261">
        <v>0.58821197827896499</v>
      </c>
      <c r="AQ62" s="481">
        <f t="shared" si="70"/>
        <v>2.0701999664299997</v>
      </c>
      <c r="AR62" s="268" t="str">
        <f t="shared" si="187"/>
        <v>unlikely, too shallow</v>
      </c>
      <c r="AS62" s="258"/>
      <c r="AT62" s="259">
        <v>86819920</v>
      </c>
      <c r="AU62" s="259">
        <v>63989.35742</v>
      </c>
      <c r="AV62" s="259">
        <v>40452.090546666666</v>
      </c>
      <c r="AW62" s="259">
        <v>17209.60510140935</v>
      </c>
      <c r="AX62" s="259">
        <v>9780.2351239407617</v>
      </c>
      <c r="AY62" s="259">
        <v>9952.9853187648478</v>
      </c>
      <c r="AZ62" s="259">
        <v>201.83199999999999</v>
      </c>
      <c r="BA62" s="269"/>
      <c r="BB62" s="259">
        <v>101134.01496411496</v>
      </c>
      <c r="BC62" s="260">
        <f>BB62-AU62+AV62</f>
        <v>77596.748090781621</v>
      </c>
      <c r="BD62" s="260">
        <f t="shared" si="200"/>
        <v>3844.6206791183567</v>
      </c>
      <c r="BE62" s="260">
        <f>BC62</f>
        <v>77596.748090781621</v>
      </c>
      <c r="BF62" s="260">
        <f>BD62</f>
        <v>3844.6206791183567</v>
      </c>
      <c r="BG62" s="270">
        <f t="shared" ref="BG62:BG69" si="209">AV62/BE62*100</f>
        <v>52.131167274356841</v>
      </c>
      <c r="BH62" s="258"/>
      <c r="BI62" s="262">
        <f t="shared" si="71"/>
        <v>0</v>
      </c>
      <c r="BJ62" s="259">
        <v>0</v>
      </c>
      <c r="BK62" s="262">
        <v>0</v>
      </c>
      <c r="BL62" s="259">
        <f t="shared" si="82"/>
        <v>0</v>
      </c>
      <c r="BM62" s="259"/>
      <c r="BN62" s="258"/>
      <c r="BO62" s="260">
        <f t="shared" si="201"/>
        <v>20.183199999999999</v>
      </c>
      <c r="BP62" s="260">
        <f t="shared" si="202"/>
        <v>38.721231862266642</v>
      </c>
      <c r="BQ62" s="263">
        <f t="shared" si="119"/>
        <v>1.97</v>
      </c>
      <c r="BR62" s="260">
        <f t="shared" si="203"/>
        <v>0</v>
      </c>
      <c r="BS62" s="265">
        <f t="shared" si="204"/>
        <v>0.17270118473732457</v>
      </c>
      <c r="BT62" s="263">
        <f t="shared" si="205"/>
        <v>4.0497831892452796</v>
      </c>
      <c r="BU62" s="260">
        <f t="shared" si="206"/>
        <v>52.131167274356841</v>
      </c>
      <c r="BV62" s="258"/>
      <c r="BW62" s="138"/>
      <c r="BX62" s="138"/>
      <c r="BY62" s="138"/>
      <c r="BZ62" s="138"/>
      <c r="CA62" s="138"/>
      <c r="CB62" s="138"/>
      <c r="CC62" s="138"/>
      <c r="CD62" s="138"/>
      <c r="CE62" s="138"/>
      <c r="CF62" s="138"/>
      <c r="CG62" s="138"/>
      <c r="CH62" s="138"/>
      <c r="CI62" s="258"/>
      <c r="CJ62" s="312" t="str">
        <f t="shared" si="120"/>
        <v>complex hydrodynamics</v>
      </c>
      <c r="CK62" s="313">
        <f t="shared" si="121"/>
        <v>3</v>
      </c>
      <c r="CL62" s="312" t="str">
        <f t="shared" si="122"/>
        <v>intermediate or complex water quality</v>
      </c>
      <c r="CM62" s="313">
        <f t="shared" si="123"/>
        <v>3</v>
      </c>
      <c r="CN62" s="312" t="str">
        <f t="shared" si="124"/>
        <v>shallow</v>
      </c>
      <c r="CO62" s="313">
        <f t="shared" si="125"/>
        <v>1</v>
      </c>
      <c r="CP62" s="312" t="str">
        <f t="shared" si="126"/>
        <v>small</v>
      </c>
      <c r="CQ62" s="313">
        <f t="shared" si="127"/>
        <v>3</v>
      </c>
      <c r="CR62" s="312" t="str">
        <f t="shared" si="128"/>
        <v>moderate</v>
      </c>
      <c r="CS62" s="313">
        <f t="shared" si="129"/>
        <v>3</v>
      </c>
      <c r="CT62" s="312" t="str">
        <f t="shared" si="130"/>
        <v>none</v>
      </c>
      <c r="CU62" s="313">
        <f t="shared" si="131"/>
        <v>1</v>
      </c>
      <c r="CV62" s="313">
        <f t="shared" si="132"/>
        <v>134</v>
      </c>
      <c r="CW62" s="313" t="str">
        <f t="shared" si="133"/>
        <v>intermediate complexity hydrodynamics</v>
      </c>
      <c r="CX62" s="313">
        <f t="shared" si="188"/>
        <v>81</v>
      </c>
      <c r="CY62" s="313" t="str">
        <f t="shared" si="134"/>
        <v>intermediate complexity water quality</v>
      </c>
      <c r="CZ62" s="216" t="s">
        <v>627</v>
      </c>
      <c r="DA62" s="272" t="str">
        <f t="shared" si="207"/>
        <v>WASP</v>
      </c>
      <c r="DB62" s="271" t="str">
        <f t="shared" si="186"/>
        <v>intermediate complexity hydrodynamics; intermediate complexity water quality (WASP)</v>
      </c>
      <c r="DC62" s="274"/>
      <c r="DD62" s="475" t="str">
        <f t="shared" si="73"/>
        <v>Pequonnock River</v>
      </c>
      <c r="DE62" s="475">
        <f t="shared" si="74"/>
        <v>55</v>
      </c>
      <c r="DF62" s="464">
        <f t="shared" si="135"/>
        <v>86.82</v>
      </c>
      <c r="DG62" s="479">
        <f t="shared" si="136"/>
        <v>0.2</v>
      </c>
      <c r="DH62" s="464">
        <f t="shared" si="137"/>
        <v>2.8</v>
      </c>
      <c r="DI62" s="464">
        <f t="shared" si="138"/>
        <v>72.2</v>
      </c>
      <c r="DJ62" s="464">
        <f t="shared" si="139"/>
        <v>39</v>
      </c>
      <c r="DK62" s="464">
        <f t="shared" si="140"/>
        <v>0.8</v>
      </c>
      <c r="DL62" s="464">
        <f t="shared" si="141"/>
        <v>0.9</v>
      </c>
      <c r="DM62" s="464">
        <f t="shared" si="142"/>
        <v>2</v>
      </c>
      <c r="DN62" s="464">
        <f t="shared" si="143"/>
        <v>0</v>
      </c>
      <c r="DO62" s="464">
        <f t="shared" si="144"/>
        <v>20183</v>
      </c>
      <c r="DP62" s="464">
        <f t="shared" si="145"/>
        <v>432001</v>
      </c>
      <c r="DQ62" s="467">
        <f t="shared" si="146"/>
        <v>2.14</v>
      </c>
      <c r="DR62" s="464">
        <f t="shared" si="147"/>
        <v>0</v>
      </c>
      <c r="DS62" s="464">
        <f t="shared" si="148"/>
        <v>149214</v>
      </c>
      <c r="DT62" s="464">
        <f t="shared" si="149"/>
        <v>0.1</v>
      </c>
      <c r="DU62" s="464">
        <f t="shared" si="150"/>
        <v>0</v>
      </c>
      <c r="DV62" s="464">
        <f t="shared" si="151"/>
        <v>0</v>
      </c>
      <c r="DW62" s="464">
        <f t="shared" si="152"/>
        <v>0</v>
      </c>
      <c r="DX62" s="464">
        <f t="shared" si="153"/>
        <v>100</v>
      </c>
      <c r="DY62" s="464">
        <f t="shared" si="154"/>
        <v>76</v>
      </c>
      <c r="DZ62" s="464">
        <f t="shared" si="155"/>
        <v>59</v>
      </c>
      <c r="EA62" s="464">
        <f t="shared" si="156"/>
        <v>77597</v>
      </c>
      <c r="EB62" s="464">
        <f t="shared" si="157"/>
        <v>3845</v>
      </c>
      <c r="EC62" s="464">
        <f t="shared" si="158"/>
        <v>52</v>
      </c>
      <c r="ED62" s="464">
        <f t="shared" si="159"/>
        <v>0.17269999999999999</v>
      </c>
      <c r="EE62" s="464">
        <f t="shared" si="160"/>
        <v>4.05</v>
      </c>
      <c r="EF62" s="275">
        <f t="shared" si="75"/>
        <v>2.0699999999999998</v>
      </c>
      <c r="EG62" s="275" t="str">
        <f t="shared" si="76"/>
        <v>unlikely, too shallow</v>
      </c>
      <c r="EH62" s="275">
        <f t="shared" si="77"/>
        <v>3.07</v>
      </c>
      <c r="EI62" s="275">
        <f t="shared" si="78"/>
        <v>1.27</v>
      </c>
      <c r="EJ62" s="275">
        <f t="shared" si="79"/>
        <v>1.01</v>
      </c>
    </row>
    <row r="63" spans="1:140" ht="44" customHeight="1" x14ac:dyDescent="0.35">
      <c r="A63" s="388">
        <v>55.5</v>
      </c>
      <c r="B63" s="215" t="s">
        <v>476</v>
      </c>
      <c r="C63" s="210" t="s">
        <v>484</v>
      </c>
      <c r="D63" s="196"/>
      <c r="E63" s="221"/>
      <c r="F63" s="197">
        <f>F61+F62+F60</f>
        <v>3714461</v>
      </c>
      <c r="G63" s="197">
        <f>G61+G62+G60</f>
        <v>10619.862999999999</v>
      </c>
      <c r="H63" s="241">
        <f t="shared" si="60"/>
        <v>349.76543482717244</v>
      </c>
      <c r="I63" s="241">
        <f>G63/H63</f>
        <v>30.362814453771083</v>
      </c>
      <c r="J63" s="452">
        <f>SUM(J61*($F61/$F63),J62*($F62/$F63),J60*($F60/$F63))</f>
        <v>0.53295969455595305</v>
      </c>
      <c r="K63" s="242">
        <f>SUM(K61*($F61/$F63),K62*($F62/$F63),K60*($F60/$F63))</f>
        <v>3.2475773838940629</v>
      </c>
      <c r="L63" s="242">
        <f>SUM(L61*($F61/$F63),L62*($F62/$F63),L60*($F60/$F63))</f>
        <v>2.173053923570607</v>
      </c>
      <c r="M63" s="242">
        <f>MAX(M60:M62)</f>
        <v>15.34</v>
      </c>
      <c r="N63" s="241">
        <f>N62+N61+N60</f>
        <v>8318027.9055370744</v>
      </c>
      <c r="O63" s="221"/>
      <c r="P63" s="241"/>
      <c r="Q63" s="457">
        <f>Q61</f>
        <v>355573.19036569283</v>
      </c>
      <c r="R63" s="242">
        <f t="shared" si="189"/>
        <v>2.1403999328599999</v>
      </c>
      <c r="S63" s="213">
        <f>S62</f>
        <v>1.0701999664299999</v>
      </c>
      <c r="T63" s="241">
        <f t="shared" si="190"/>
        <v>7950432.0750110876</v>
      </c>
      <c r="U63" s="197">
        <v>0</v>
      </c>
      <c r="V63" s="243">
        <f t="shared" si="191"/>
        <v>4.9387761331094344</v>
      </c>
      <c r="W63" s="243">
        <f t="shared" si="192"/>
        <v>16.154064048245932</v>
      </c>
      <c r="X63" s="241">
        <f t="shared" si="193"/>
        <v>15900864.150022175</v>
      </c>
      <c r="Y63" s="242">
        <f t="shared" si="194"/>
        <v>1.0462359563678776</v>
      </c>
      <c r="Z63" s="243">
        <f t="shared" si="195"/>
        <v>23.393293226022791</v>
      </c>
      <c r="AA63" s="243">
        <f t="shared" si="196"/>
        <v>2.2361878386665982E-2</v>
      </c>
      <c r="AB63" s="245">
        <f t="shared" si="197"/>
        <v>2.213665321071619E-2</v>
      </c>
      <c r="AC63" s="245">
        <f t="shared" si="65"/>
        <v>3.2997605460424873</v>
      </c>
      <c r="AD63" s="245">
        <f t="shared" si="198"/>
        <v>0.95580733381751593</v>
      </c>
      <c r="AE63" s="245">
        <f t="shared" si="199"/>
        <v>2.3138332497314108E-2</v>
      </c>
      <c r="AF63" s="221"/>
      <c r="AG63" s="211">
        <f>AG62</f>
        <v>-73.176366000000002</v>
      </c>
      <c r="AH63" s="242">
        <f>AH62</f>
        <v>0.80029502121699392</v>
      </c>
      <c r="AI63" s="242">
        <f>1.2/AH63</f>
        <v>1.4994470391371197</v>
      </c>
      <c r="AJ63" s="242">
        <f t="shared" si="67"/>
        <v>3.071245643086006</v>
      </c>
      <c r="AK63" s="242">
        <f t="shared" si="68"/>
        <v>1.2652130654628579</v>
      </c>
      <c r="AL63" s="242">
        <f t="shared" si="69"/>
        <v>1.0097907382584876</v>
      </c>
      <c r="AM63" s="242">
        <f>SUM(AM61*($F61/$F63),AM62*($F62/$F63),AM60*($F60/$F63))</f>
        <v>1.0412181038957715</v>
      </c>
      <c r="AN63" s="452">
        <f>SUM(AN61*($F61/$F63),AN62*($F62/$F63),AN60*($F60/$F63))</f>
        <v>0.68404955716964411</v>
      </c>
      <c r="AO63" s="452">
        <f>SUM(AO61*($F61/$F63),AO62*($F62/$F63),AO60*($F60/$F63))</f>
        <v>0.39915188467334906</v>
      </c>
      <c r="AP63" s="452">
        <f>SUM(AP61*($F61/$F63),AP62*($F62/$F63),AP60*($F60/$F63))</f>
        <v>0.28990208808222817</v>
      </c>
      <c r="AQ63" s="483">
        <f t="shared" si="70"/>
        <v>2.0701999664299997</v>
      </c>
      <c r="AR63" s="247" t="str">
        <f t="shared" si="187"/>
        <v>possible if water clarity improves</v>
      </c>
      <c r="AS63" s="221"/>
      <c r="AT63" s="241">
        <f t="shared" ref="AT63:AZ63" si="210">AT62+AT61+AT60</f>
        <v>206967544</v>
      </c>
      <c r="AU63" s="241">
        <f t="shared" si="210"/>
        <v>63989.35742</v>
      </c>
      <c r="AV63" s="241">
        <f t="shared" si="210"/>
        <v>40452.090546666666</v>
      </c>
      <c r="AW63" s="241">
        <f t="shared" si="210"/>
        <v>37459.316808767064</v>
      </c>
      <c r="AX63" s="241">
        <f t="shared" si="210"/>
        <v>22356.73175263562</v>
      </c>
      <c r="AY63" s="241">
        <f t="shared" si="210"/>
        <v>27367.437175685467</v>
      </c>
      <c r="AZ63" s="241">
        <f t="shared" si="210"/>
        <v>3714.4610000000002</v>
      </c>
      <c r="BA63" s="214"/>
      <c r="BB63" s="241">
        <f>BB62+BB61+BB60</f>
        <v>154887.30415708816</v>
      </c>
      <c r="BC63" s="241">
        <f>BC62+BC61+BC60</f>
        <v>131350.03728375482</v>
      </c>
      <c r="BD63" s="241">
        <f t="shared" si="200"/>
        <v>353.61802771318588</v>
      </c>
      <c r="BE63" s="457">
        <f t="shared" ref="BE63:BE69" si="211">BC63</f>
        <v>131350.03728375482</v>
      </c>
      <c r="BF63" s="457">
        <f>BD63</f>
        <v>353.61802771318588</v>
      </c>
      <c r="BG63" s="248">
        <f t="shared" si="209"/>
        <v>30.797167159745996</v>
      </c>
      <c r="BH63" s="221"/>
      <c r="BI63" s="242">
        <f t="shared" si="71"/>
        <v>479.91447749999998</v>
      </c>
      <c r="BJ63" s="241">
        <f>BJ60+BJ62+BJ61</f>
        <v>1919657.91</v>
      </c>
      <c r="BK63" s="242">
        <f>BK60+BK62+BK61</f>
        <v>0</v>
      </c>
      <c r="BL63" s="241">
        <f>BL60+BL62+BL61</f>
        <v>0</v>
      </c>
      <c r="BM63" s="197"/>
      <c r="BN63" s="221"/>
      <c r="BO63" s="241">
        <f t="shared" si="201"/>
        <v>371.4461</v>
      </c>
      <c r="BP63" s="241">
        <f t="shared" si="202"/>
        <v>30.362814453771083</v>
      </c>
      <c r="BQ63" s="242">
        <f t="shared" si="119"/>
        <v>15.34</v>
      </c>
      <c r="BR63" s="241">
        <f t="shared" si="203"/>
        <v>0</v>
      </c>
      <c r="BS63" s="244">
        <f t="shared" si="204"/>
        <v>2.2361878386665982E-2</v>
      </c>
      <c r="BT63" s="242">
        <f t="shared" si="205"/>
        <v>3.2997605460424873</v>
      </c>
      <c r="BU63" s="241">
        <f t="shared" si="206"/>
        <v>30.797167159745996</v>
      </c>
      <c r="BV63" s="221"/>
      <c r="CI63" s="221"/>
      <c r="CJ63" s="303" t="str">
        <f t="shared" si="120"/>
        <v>intermediate complexity hydrodynamics</v>
      </c>
      <c r="CK63" s="304">
        <f t="shared" si="121"/>
        <v>2</v>
      </c>
      <c r="CL63" s="303" t="str">
        <f t="shared" si="122"/>
        <v>intermediate or complex water quality</v>
      </c>
      <c r="CM63" s="304">
        <f t="shared" si="123"/>
        <v>3</v>
      </c>
      <c r="CN63" s="303" t="str">
        <f t="shared" si="124"/>
        <v>deep</v>
      </c>
      <c r="CO63" s="304">
        <f t="shared" si="125"/>
        <v>3</v>
      </c>
      <c r="CP63" s="303" t="str">
        <f t="shared" si="126"/>
        <v>mid-size</v>
      </c>
      <c r="CQ63" s="304">
        <f t="shared" si="127"/>
        <v>4</v>
      </c>
      <c r="CR63" s="303" t="str">
        <f t="shared" si="128"/>
        <v>moderate</v>
      </c>
      <c r="CS63" s="304">
        <f t="shared" si="129"/>
        <v>3</v>
      </c>
      <c r="CT63" s="303" t="str">
        <f t="shared" si="130"/>
        <v>none</v>
      </c>
      <c r="CU63" s="304">
        <f t="shared" si="131"/>
        <v>1</v>
      </c>
      <c r="CV63" s="304">
        <f t="shared" si="132"/>
        <v>144</v>
      </c>
      <c r="CW63" s="304" t="str">
        <f t="shared" si="133"/>
        <v>complex hydrodynamics</v>
      </c>
      <c r="CX63" s="304">
        <f t="shared" si="188"/>
        <v>125</v>
      </c>
      <c r="CY63" s="304" t="str">
        <f t="shared" si="134"/>
        <v>complex water quality</v>
      </c>
      <c r="CZ63" s="216" t="s">
        <v>644</v>
      </c>
      <c r="DA63" s="252" t="str">
        <f t="shared" si="207"/>
        <v>WASP</v>
      </c>
      <c r="DB63" s="251" t="str">
        <f t="shared" si="186"/>
        <v>complex hydrodynamics; complex water quality (WASP)</v>
      </c>
      <c r="DC63" s="227"/>
      <c r="DD63" s="475" t="str">
        <f t="shared" si="73"/>
        <v>Lewis Gut + Bridgeport H. + Pequonnock R.</v>
      </c>
      <c r="DE63" s="475" t="str">
        <f t="shared" si="74"/>
        <v>53-54-55</v>
      </c>
      <c r="DF63" s="477">
        <f t="shared" si="135"/>
        <v>206.97</v>
      </c>
      <c r="DG63" s="478">
        <f t="shared" si="136"/>
        <v>3.71</v>
      </c>
      <c r="DH63" s="477">
        <f t="shared" si="137"/>
        <v>10.62</v>
      </c>
      <c r="DI63" s="477">
        <f t="shared" si="138"/>
        <v>349.8</v>
      </c>
      <c r="DJ63" s="477">
        <f t="shared" si="139"/>
        <v>30</v>
      </c>
      <c r="DK63" s="477">
        <f t="shared" si="140"/>
        <v>3.2</v>
      </c>
      <c r="DL63" s="477">
        <f t="shared" si="141"/>
        <v>2.2000000000000002</v>
      </c>
      <c r="DM63" s="477">
        <f t="shared" si="142"/>
        <v>15.3</v>
      </c>
      <c r="DN63" s="477">
        <f t="shared" si="143"/>
        <v>53</v>
      </c>
      <c r="DO63" s="477">
        <f t="shared" si="144"/>
        <v>8318028</v>
      </c>
      <c r="DP63" s="477">
        <f t="shared" si="145"/>
        <v>7950432</v>
      </c>
      <c r="DQ63" s="467">
        <f t="shared" si="146"/>
        <v>2.14</v>
      </c>
      <c r="DR63" s="467">
        <f t="shared" si="147"/>
        <v>0</v>
      </c>
      <c r="DS63" s="467">
        <f t="shared" si="148"/>
        <v>355573</v>
      </c>
      <c r="DT63" s="467">
        <f t="shared" si="149"/>
        <v>23.4</v>
      </c>
      <c r="DU63" s="467">
        <f t="shared" si="150"/>
        <v>1</v>
      </c>
      <c r="DV63" s="467">
        <f t="shared" si="151"/>
        <v>479.91</v>
      </c>
      <c r="DW63" s="467">
        <f t="shared" si="152"/>
        <v>0</v>
      </c>
      <c r="DX63" s="467">
        <f t="shared" si="153"/>
        <v>68</v>
      </c>
      <c r="DY63" s="467">
        <f t="shared" si="154"/>
        <v>40</v>
      </c>
      <c r="DZ63" s="467">
        <f t="shared" si="155"/>
        <v>29</v>
      </c>
      <c r="EA63" s="467">
        <f t="shared" si="156"/>
        <v>131350</v>
      </c>
      <c r="EB63" s="467">
        <f t="shared" si="157"/>
        <v>354</v>
      </c>
      <c r="EC63" s="467">
        <f t="shared" si="158"/>
        <v>31</v>
      </c>
      <c r="ED63" s="467">
        <f t="shared" si="159"/>
        <v>2.2360000000000001E-2</v>
      </c>
      <c r="EE63" s="467">
        <f t="shared" si="160"/>
        <v>3.3</v>
      </c>
      <c r="EF63" s="138">
        <f t="shared" si="75"/>
        <v>2.0699999999999998</v>
      </c>
      <c r="EG63" s="138" t="str">
        <f t="shared" si="76"/>
        <v>possible if water clarity improves</v>
      </c>
      <c r="EH63" s="138">
        <f t="shared" si="77"/>
        <v>3.07</v>
      </c>
      <c r="EI63" s="138">
        <f t="shared" si="78"/>
        <v>1.27</v>
      </c>
      <c r="EJ63" s="138">
        <f t="shared" si="79"/>
        <v>1.01</v>
      </c>
    </row>
    <row r="64" spans="1:140" ht="44" customHeight="1" x14ac:dyDescent="0.35">
      <c r="A64" s="388">
        <v>56</v>
      </c>
      <c r="B64" s="215" t="s">
        <v>452</v>
      </c>
      <c r="C64" s="210">
        <v>56</v>
      </c>
      <c r="D64" s="196"/>
      <c r="E64" s="221"/>
      <c r="F64" s="197">
        <v>1110912</v>
      </c>
      <c r="G64" s="197">
        <v>3324.53</v>
      </c>
      <c r="H64" s="241">
        <f t="shared" si="60"/>
        <v>334.15610627667667</v>
      </c>
      <c r="I64" s="241">
        <f t="shared" si="61"/>
        <v>9.9490326154546906</v>
      </c>
      <c r="J64" s="212">
        <v>0.62308355657333792</v>
      </c>
      <c r="K64" s="213">
        <v>1.8825430560013501</v>
      </c>
      <c r="L64" s="213">
        <v>1.55</v>
      </c>
      <c r="M64" s="213">
        <v>8.36</v>
      </c>
      <c r="N64" s="241">
        <f t="shared" ref="N64:N70" si="212">F64*MAX(0.1,(K64-S64))</f>
        <v>915106.06574722391</v>
      </c>
      <c r="O64" s="221"/>
      <c r="P64" s="241">
        <f t="shared" si="62"/>
        <v>9056.2876359111542</v>
      </c>
      <c r="Q64" s="241">
        <f>P64</f>
        <v>9056.2876359111542</v>
      </c>
      <c r="R64" s="242">
        <f t="shared" si="189"/>
        <v>2.1175999641400001</v>
      </c>
      <c r="S64" s="213">
        <v>1.05879998207</v>
      </c>
      <c r="T64" s="241">
        <f t="shared" si="190"/>
        <v>2352467.2113626958</v>
      </c>
      <c r="U64" s="197">
        <v>0</v>
      </c>
      <c r="V64" s="243">
        <f t="shared" si="191"/>
        <v>2.662243050688375</v>
      </c>
      <c r="W64" s="243">
        <f t="shared" si="192"/>
        <v>8.3750361549295835</v>
      </c>
      <c r="X64" s="241">
        <f t="shared" si="193"/>
        <v>4704934.4227253916</v>
      </c>
      <c r="Y64" s="242">
        <f t="shared" si="194"/>
        <v>0.38899843590896954</v>
      </c>
      <c r="Z64" s="243">
        <f t="shared" si="195"/>
        <v>101.04648864271138</v>
      </c>
      <c r="AA64" s="243">
        <f t="shared" si="196"/>
        <v>1.9248488548890734E-3</v>
      </c>
      <c r="AB64" s="245">
        <f t="shared" si="197"/>
        <v>0.15155876647087344</v>
      </c>
      <c r="AC64" s="245">
        <f t="shared" si="65"/>
        <v>262.46003001901079</v>
      </c>
      <c r="AD64" s="245">
        <f t="shared" si="198"/>
        <v>2.5707044236908252</v>
      </c>
      <c r="AE64" s="245">
        <f t="shared" si="199"/>
        <v>1.9916838845727221E-3</v>
      </c>
      <c r="AF64" s="221"/>
      <c r="AG64" s="211">
        <v>-73.220645000000005</v>
      </c>
      <c r="AH64" s="246">
        <v>1.0833042672671762</v>
      </c>
      <c r="AI64" s="246">
        <f t="shared" si="66"/>
        <v>1.1077220281123872</v>
      </c>
      <c r="AJ64" s="246">
        <f t="shared" si="67"/>
        <v>4.1573337616437289</v>
      </c>
      <c r="AK64" s="246">
        <f t="shared" si="68"/>
        <v>1.7126318126205968</v>
      </c>
      <c r="AL64" s="246">
        <f t="shared" si="69"/>
        <v>1.3668841949545083</v>
      </c>
      <c r="AM64" s="218">
        <v>1.05879998207</v>
      </c>
      <c r="AN64" s="212">
        <v>0.98728941001737702</v>
      </c>
      <c r="AO64" s="212">
        <v>0.55494571770118395</v>
      </c>
      <c r="AP64" s="212">
        <v>0.42485014334977</v>
      </c>
      <c r="AQ64" s="484">
        <f t="shared" si="70"/>
        <v>2.05879998207</v>
      </c>
      <c r="AR64" s="247" t="str">
        <f t="shared" si="187"/>
        <v>possible if water clarity improves</v>
      </c>
      <c r="AS64" s="221"/>
      <c r="AT64" s="197">
        <v>5122333</v>
      </c>
      <c r="AU64" s="197">
        <v>80172.952990000005</v>
      </c>
      <c r="AV64" s="197">
        <v>256895.60913333332</v>
      </c>
      <c r="AW64" s="197">
        <v>0</v>
      </c>
      <c r="AX64" s="197">
        <v>338.07564654585633</v>
      </c>
      <c r="AY64" s="197">
        <v>2428.4185045140121</v>
      </c>
      <c r="AZ64" s="197">
        <v>1110.912</v>
      </c>
      <c r="BA64" s="214"/>
      <c r="BB64" s="197">
        <v>84050.359141059875</v>
      </c>
      <c r="BC64" s="241">
        <f t="shared" ref="BC64:BC70" si="213">BB64-AU64+AV64</f>
        <v>260773.01528439319</v>
      </c>
      <c r="BD64" s="241">
        <f t="shared" si="200"/>
        <v>2347.3777876590871</v>
      </c>
      <c r="BE64" s="241">
        <f t="shared" si="211"/>
        <v>260773.01528439319</v>
      </c>
      <c r="BF64" s="241">
        <f t="shared" si="86"/>
        <v>2347.3777876590871</v>
      </c>
      <c r="BG64" s="248">
        <f t="shared" si="209"/>
        <v>98.513110665675569</v>
      </c>
      <c r="BH64" s="221"/>
      <c r="BI64" s="213">
        <f t="shared" si="71"/>
        <v>0</v>
      </c>
      <c r="BJ64" s="197">
        <v>0</v>
      </c>
      <c r="BK64" s="213">
        <v>0</v>
      </c>
      <c r="BL64" s="197">
        <f t="shared" si="82"/>
        <v>0</v>
      </c>
      <c r="BM64" s="197"/>
      <c r="BN64" s="221"/>
      <c r="BO64" s="241">
        <f t="shared" si="201"/>
        <v>111.0912</v>
      </c>
      <c r="BP64" s="241">
        <f t="shared" si="202"/>
        <v>9.9490326154546906</v>
      </c>
      <c r="BQ64" s="242">
        <f t="shared" si="119"/>
        <v>8.36</v>
      </c>
      <c r="BR64" s="241">
        <f t="shared" si="203"/>
        <v>0</v>
      </c>
      <c r="BS64" s="244">
        <f t="shared" si="204"/>
        <v>1.9248488548890734E-3</v>
      </c>
      <c r="BT64" s="242">
        <f t="shared" si="205"/>
        <v>262.46003001901079</v>
      </c>
      <c r="BU64" s="241">
        <f t="shared" si="206"/>
        <v>98.513110665675569</v>
      </c>
      <c r="BV64" s="221"/>
      <c r="CI64" s="221"/>
      <c r="CJ64" s="303" t="str">
        <f t="shared" si="120"/>
        <v>simple complexity hydrodynamics</v>
      </c>
      <c r="CK64" s="304">
        <f t="shared" si="121"/>
        <v>1</v>
      </c>
      <c r="CL64" s="303" t="str">
        <f t="shared" si="122"/>
        <v>complex water quality</v>
      </c>
      <c r="CM64" s="304">
        <f t="shared" si="123"/>
        <v>4</v>
      </c>
      <c r="CN64" s="303" t="str">
        <f t="shared" si="124"/>
        <v>deep</v>
      </c>
      <c r="CO64" s="304">
        <f t="shared" si="125"/>
        <v>3</v>
      </c>
      <c r="CP64" s="303" t="str">
        <f t="shared" si="126"/>
        <v>mid-size</v>
      </c>
      <c r="CQ64" s="304">
        <f t="shared" si="127"/>
        <v>4</v>
      </c>
      <c r="CR64" s="303" t="str">
        <f t="shared" si="128"/>
        <v>very low</v>
      </c>
      <c r="CS64" s="304">
        <f t="shared" si="129"/>
        <v>1</v>
      </c>
      <c r="CT64" s="303" t="str">
        <f t="shared" si="130"/>
        <v>none</v>
      </c>
      <c r="CU64" s="304">
        <f t="shared" si="131"/>
        <v>1</v>
      </c>
      <c r="CV64" s="304">
        <f t="shared" si="132"/>
        <v>132</v>
      </c>
      <c r="CW64" s="304" t="str">
        <f t="shared" si="133"/>
        <v>intermediate complexity hydrodynamics</v>
      </c>
      <c r="CX64" s="304">
        <f t="shared" si="188"/>
        <v>138</v>
      </c>
      <c r="CY64" s="304" t="str">
        <f t="shared" si="134"/>
        <v>complex water quality</v>
      </c>
      <c r="CZ64" s="216" t="s">
        <v>645</v>
      </c>
      <c r="DA64" s="252" t="str">
        <f t="shared" si="207"/>
        <v>WASP</v>
      </c>
      <c r="DB64" s="251" t="str">
        <f t="shared" si="186"/>
        <v>intermediate complexity hydrodynamics; complex water quality (WASP)</v>
      </c>
      <c r="DC64" s="227"/>
      <c r="DD64" s="475" t="str">
        <f t="shared" si="73"/>
        <v>Black Rock Harbor</v>
      </c>
      <c r="DE64" s="475">
        <f t="shared" si="74"/>
        <v>56</v>
      </c>
      <c r="DF64" s="465">
        <f t="shared" si="135"/>
        <v>5.12</v>
      </c>
      <c r="DG64" s="466">
        <f t="shared" si="136"/>
        <v>1.1100000000000001</v>
      </c>
      <c r="DH64" s="465">
        <f t="shared" si="137"/>
        <v>3.32</v>
      </c>
      <c r="DI64" s="465">
        <f t="shared" si="138"/>
        <v>334.2</v>
      </c>
      <c r="DJ64" s="465">
        <f t="shared" si="139"/>
        <v>10</v>
      </c>
      <c r="DK64" s="465">
        <f t="shared" si="140"/>
        <v>1.9</v>
      </c>
      <c r="DL64" s="465">
        <f t="shared" si="141"/>
        <v>1.6</v>
      </c>
      <c r="DM64" s="465">
        <f t="shared" si="142"/>
        <v>8.4</v>
      </c>
      <c r="DN64" s="465">
        <f t="shared" si="143"/>
        <v>62</v>
      </c>
      <c r="DO64" s="465">
        <f t="shared" si="144"/>
        <v>915106</v>
      </c>
      <c r="DP64" s="465">
        <f t="shared" si="145"/>
        <v>2352467</v>
      </c>
      <c r="DQ64" s="467">
        <f t="shared" si="146"/>
        <v>2.12</v>
      </c>
      <c r="DR64" s="467">
        <f t="shared" si="147"/>
        <v>0</v>
      </c>
      <c r="DS64" s="467">
        <f t="shared" si="148"/>
        <v>9056</v>
      </c>
      <c r="DT64" s="467">
        <f t="shared" si="149"/>
        <v>101</v>
      </c>
      <c r="DU64" s="467">
        <f t="shared" si="150"/>
        <v>0.4</v>
      </c>
      <c r="DV64" s="467">
        <f t="shared" si="151"/>
        <v>0</v>
      </c>
      <c r="DW64" s="467">
        <f t="shared" si="152"/>
        <v>0</v>
      </c>
      <c r="DX64" s="467">
        <f t="shared" si="153"/>
        <v>99</v>
      </c>
      <c r="DY64" s="467">
        <f t="shared" si="154"/>
        <v>55</v>
      </c>
      <c r="DZ64" s="467">
        <f t="shared" si="155"/>
        <v>42</v>
      </c>
      <c r="EA64" s="467">
        <f t="shared" si="156"/>
        <v>260773</v>
      </c>
      <c r="EB64" s="467">
        <f t="shared" si="157"/>
        <v>2347</v>
      </c>
      <c r="EC64" s="467">
        <f t="shared" si="158"/>
        <v>99</v>
      </c>
      <c r="ED64" s="467">
        <f t="shared" si="159"/>
        <v>1.92E-3</v>
      </c>
      <c r="EE64" s="467">
        <f t="shared" si="160"/>
        <v>262.45999999999998</v>
      </c>
      <c r="EF64" s="138">
        <f t="shared" si="75"/>
        <v>2.06</v>
      </c>
      <c r="EG64" s="138" t="str">
        <f t="shared" si="76"/>
        <v>possible if water clarity improves</v>
      </c>
      <c r="EH64" s="138">
        <f t="shared" si="77"/>
        <v>4.16</v>
      </c>
      <c r="EI64" s="138">
        <f t="shared" si="78"/>
        <v>1.71</v>
      </c>
      <c r="EJ64" s="138">
        <f t="shared" si="79"/>
        <v>1.37</v>
      </c>
    </row>
    <row r="65" spans="1:140" ht="44" customHeight="1" x14ac:dyDescent="0.35">
      <c r="A65" s="388">
        <v>57</v>
      </c>
      <c r="B65" s="215" t="s">
        <v>453</v>
      </c>
      <c r="C65" s="210">
        <v>57</v>
      </c>
      <c r="D65" s="196"/>
      <c r="E65" s="221"/>
      <c r="F65" s="197">
        <v>394301</v>
      </c>
      <c r="G65" s="197">
        <v>3758.7629999999999</v>
      </c>
      <c r="H65" s="241">
        <f t="shared" si="60"/>
        <v>104.90179880987442</v>
      </c>
      <c r="I65" s="241">
        <f t="shared" si="61"/>
        <v>35.831254017030133</v>
      </c>
      <c r="J65" s="212">
        <v>0</v>
      </c>
      <c r="K65" s="213">
        <v>0.84999353285941504</v>
      </c>
      <c r="L65" s="213">
        <v>0.85</v>
      </c>
      <c r="M65" s="213">
        <v>1.8759999752000001</v>
      </c>
      <c r="N65" s="241">
        <f t="shared" si="212"/>
        <v>39430.100000000006</v>
      </c>
      <c r="O65" s="221"/>
      <c r="P65" s="241">
        <f t="shared" si="62"/>
        <v>50734.937660443</v>
      </c>
      <c r="Q65" s="241">
        <f t="shared" si="208"/>
        <v>50734.937660443</v>
      </c>
      <c r="R65" s="242">
        <f t="shared" si="189"/>
        <v>2.1519999504</v>
      </c>
      <c r="S65" s="213">
        <v>1.0759999752</v>
      </c>
      <c r="T65" s="241">
        <f t="shared" si="190"/>
        <v>848535.73244267039</v>
      </c>
      <c r="U65" s="197">
        <v>12</v>
      </c>
      <c r="V65" s="243">
        <f t="shared" si="191"/>
        <v>2.8421701444571839</v>
      </c>
      <c r="W65" s="243">
        <f t="shared" si="192"/>
        <v>8.9650536586617644</v>
      </c>
      <c r="X65" s="241">
        <f t="shared" si="193"/>
        <v>1697071.4648853408</v>
      </c>
      <c r="Y65" s="242">
        <f t="shared" si="194"/>
        <v>4.6468402558007799E-2</v>
      </c>
      <c r="Z65" s="243">
        <f t="shared" si="195"/>
        <v>0.77717844582556472</v>
      </c>
      <c r="AA65" s="243">
        <f t="shared" si="196"/>
        <v>2.9895581129148738E-2</v>
      </c>
      <c r="AB65" s="245">
        <f t="shared" si="197"/>
        <v>2.055605180809016E-2</v>
      </c>
      <c r="AC65" s="245">
        <f t="shared" si="65"/>
        <v>2.2919833000612071</v>
      </c>
      <c r="AD65" s="245">
        <f t="shared" si="198"/>
        <v>21.519999503999998</v>
      </c>
      <c r="AE65" s="245">
        <f t="shared" si="199"/>
        <v>3.0933622140577519E-2</v>
      </c>
      <c r="AF65" s="221"/>
      <c r="AG65" s="211">
        <v>-73.232284000000007</v>
      </c>
      <c r="AH65" s="242">
        <f>(AG65^2*-0.304-43.623*AG65-1561.6)*0.4012-0.2907</f>
        <v>0.78043551338524852</v>
      </c>
      <c r="AI65" s="242">
        <f t="shared" si="66"/>
        <v>1.5376030170575294</v>
      </c>
      <c r="AJ65" s="242">
        <f t="shared" si="67"/>
        <v>2.9950319652733799</v>
      </c>
      <c r="AK65" s="242">
        <f t="shared" si="68"/>
        <v>1.2338165077981897</v>
      </c>
      <c r="AL65" s="242">
        <f t="shared" si="69"/>
        <v>0.98473254528813425</v>
      </c>
      <c r="AM65" s="213">
        <v>1.0759999752</v>
      </c>
      <c r="AN65" s="212">
        <v>0.99999239159931097</v>
      </c>
      <c r="AO65" s="212">
        <v>0.70587698230539597</v>
      </c>
      <c r="AP65" s="212">
        <v>0.58823081858783</v>
      </c>
      <c r="AQ65" s="484">
        <f t="shared" si="70"/>
        <v>2.0759999752000002</v>
      </c>
      <c r="AR65" s="247" t="str">
        <f t="shared" si="187"/>
        <v>unlikely, too shallow</v>
      </c>
      <c r="AS65" s="221"/>
      <c r="AT65" s="197">
        <v>29200070</v>
      </c>
      <c r="AU65" s="197">
        <v>0</v>
      </c>
      <c r="AV65" s="197">
        <v>0</v>
      </c>
      <c r="AW65" s="197">
        <v>1245.5908567630611</v>
      </c>
      <c r="AX65" s="197">
        <v>5364.1866400332055</v>
      </c>
      <c r="AY65" s="197">
        <v>6109.6411240573589</v>
      </c>
      <c r="AZ65" s="197">
        <v>394.30099999999999</v>
      </c>
      <c r="BA65" s="214"/>
      <c r="BB65" s="197">
        <v>13113.719620853626</v>
      </c>
      <c r="BC65" s="241">
        <f t="shared" si="213"/>
        <v>13113.719620853626</v>
      </c>
      <c r="BD65" s="241">
        <f t="shared" si="200"/>
        <v>332.58144465404922</v>
      </c>
      <c r="BE65" s="241">
        <f t="shared" si="211"/>
        <v>13113.719620853626</v>
      </c>
      <c r="BF65" s="241">
        <f t="shared" si="86"/>
        <v>332.58144465404922</v>
      </c>
      <c r="BG65" s="248">
        <f t="shared" si="209"/>
        <v>0</v>
      </c>
      <c r="BH65" s="221"/>
      <c r="BI65" s="213">
        <f t="shared" si="71"/>
        <v>41.349925000000006</v>
      </c>
      <c r="BJ65" s="197">
        <v>165399.70000000001</v>
      </c>
      <c r="BK65" s="213">
        <v>0</v>
      </c>
      <c r="BL65" s="197">
        <f t="shared" si="82"/>
        <v>0</v>
      </c>
      <c r="BM65" s="197"/>
      <c r="BN65" s="221"/>
      <c r="BO65" s="241">
        <f t="shared" si="201"/>
        <v>39.430100000000003</v>
      </c>
      <c r="BP65" s="241">
        <f t="shared" si="202"/>
        <v>35.831254017030133</v>
      </c>
      <c r="BQ65" s="242">
        <f t="shared" si="119"/>
        <v>1.8759999752000001</v>
      </c>
      <c r="BR65" s="241">
        <f t="shared" si="203"/>
        <v>2</v>
      </c>
      <c r="BS65" s="244">
        <f t="shared" si="204"/>
        <v>2.9895581129148738E-2</v>
      </c>
      <c r="BT65" s="242">
        <f t="shared" si="205"/>
        <v>2.2919833000612071</v>
      </c>
      <c r="BU65" s="241">
        <f t="shared" si="206"/>
        <v>0</v>
      </c>
      <c r="BV65" s="221"/>
      <c r="CI65" s="221"/>
      <c r="CJ65" s="303" t="str">
        <f t="shared" si="120"/>
        <v>intermediate complexity hydrodynamics</v>
      </c>
      <c r="CK65" s="304">
        <f t="shared" si="121"/>
        <v>2</v>
      </c>
      <c r="CL65" s="303" t="str">
        <f t="shared" si="122"/>
        <v>intermediate complexity water quality</v>
      </c>
      <c r="CM65" s="304">
        <f t="shared" si="123"/>
        <v>2</v>
      </c>
      <c r="CN65" s="303" t="str">
        <f t="shared" si="124"/>
        <v>shallow</v>
      </c>
      <c r="CO65" s="304">
        <f t="shared" si="125"/>
        <v>1</v>
      </c>
      <c r="CP65" s="303" t="str">
        <f t="shared" si="126"/>
        <v>small</v>
      </c>
      <c r="CQ65" s="304">
        <f t="shared" si="127"/>
        <v>3</v>
      </c>
      <c r="CR65" s="303" t="str">
        <f t="shared" si="128"/>
        <v>moderate</v>
      </c>
      <c r="CS65" s="304">
        <f t="shared" si="129"/>
        <v>3</v>
      </c>
      <c r="CT65" s="303" t="str">
        <f t="shared" si="130"/>
        <v>mid-estuary</v>
      </c>
      <c r="CU65" s="304">
        <f t="shared" si="131"/>
        <v>3</v>
      </c>
      <c r="CV65" s="304">
        <f t="shared" si="132"/>
        <v>106</v>
      </c>
      <c r="CW65" s="304" t="str">
        <f t="shared" si="133"/>
        <v>intermediate complexity hydrodynamics</v>
      </c>
      <c r="CX65" s="304">
        <f t="shared" si="188"/>
        <v>68</v>
      </c>
      <c r="CY65" s="304" t="str">
        <f t="shared" si="134"/>
        <v>intermediate complexity water quality</v>
      </c>
      <c r="CZ65" s="216" t="s">
        <v>402</v>
      </c>
      <c r="DA65" s="252" t="str">
        <f t="shared" si="207"/>
        <v>-</v>
      </c>
      <c r="DB65" s="251" t="str">
        <f t="shared" si="186"/>
        <v>intermediate complexity hydrodynamics; intermediate complexity water quality</v>
      </c>
      <c r="DC65" s="227"/>
      <c r="DD65" s="475" t="str">
        <f t="shared" si="73"/>
        <v>Ash Creek</v>
      </c>
      <c r="DE65" s="475">
        <f t="shared" si="74"/>
        <v>57</v>
      </c>
      <c r="DF65" s="465">
        <f t="shared" si="135"/>
        <v>29.2</v>
      </c>
      <c r="DG65" s="466">
        <f t="shared" si="136"/>
        <v>0.39</v>
      </c>
      <c r="DH65" s="465">
        <f t="shared" si="137"/>
        <v>3.76</v>
      </c>
      <c r="DI65" s="465">
        <f t="shared" si="138"/>
        <v>104.9</v>
      </c>
      <c r="DJ65" s="465">
        <f t="shared" si="139"/>
        <v>36</v>
      </c>
      <c r="DK65" s="465">
        <f t="shared" si="140"/>
        <v>0.8</v>
      </c>
      <c r="DL65" s="465">
        <f t="shared" si="141"/>
        <v>0.9</v>
      </c>
      <c r="DM65" s="465">
        <f t="shared" si="142"/>
        <v>1.9</v>
      </c>
      <c r="DN65" s="465">
        <f t="shared" si="143"/>
        <v>0</v>
      </c>
      <c r="DO65" s="465">
        <f t="shared" si="144"/>
        <v>39430</v>
      </c>
      <c r="DP65" s="465">
        <f t="shared" si="145"/>
        <v>848536</v>
      </c>
      <c r="DQ65" s="467">
        <f t="shared" si="146"/>
        <v>2.15</v>
      </c>
      <c r="DR65" s="467">
        <f t="shared" si="147"/>
        <v>12</v>
      </c>
      <c r="DS65" s="467">
        <f t="shared" si="148"/>
        <v>50735</v>
      </c>
      <c r="DT65" s="467">
        <f t="shared" si="149"/>
        <v>0.8</v>
      </c>
      <c r="DU65" s="467">
        <f t="shared" si="150"/>
        <v>0</v>
      </c>
      <c r="DV65" s="467">
        <f t="shared" si="151"/>
        <v>41.35</v>
      </c>
      <c r="DW65" s="467">
        <f t="shared" si="152"/>
        <v>0</v>
      </c>
      <c r="DX65" s="467">
        <f t="shared" si="153"/>
        <v>100</v>
      </c>
      <c r="DY65" s="467">
        <f t="shared" si="154"/>
        <v>71</v>
      </c>
      <c r="DZ65" s="467">
        <f t="shared" si="155"/>
        <v>59</v>
      </c>
      <c r="EA65" s="467">
        <f t="shared" si="156"/>
        <v>13114</v>
      </c>
      <c r="EB65" s="467">
        <f t="shared" si="157"/>
        <v>333</v>
      </c>
      <c r="EC65" s="467">
        <f t="shared" si="158"/>
        <v>0</v>
      </c>
      <c r="ED65" s="467">
        <f t="shared" si="159"/>
        <v>2.9899999999999999E-2</v>
      </c>
      <c r="EE65" s="467">
        <f t="shared" si="160"/>
        <v>2.29</v>
      </c>
      <c r="EF65" s="138">
        <f t="shared" si="75"/>
        <v>2.08</v>
      </c>
      <c r="EG65" s="138" t="str">
        <f t="shared" si="76"/>
        <v>unlikely, too shallow</v>
      </c>
      <c r="EH65" s="138">
        <f t="shared" si="77"/>
        <v>3</v>
      </c>
      <c r="EI65" s="138">
        <f t="shared" si="78"/>
        <v>1.23</v>
      </c>
      <c r="EJ65" s="138">
        <f t="shared" si="79"/>
        <v>0.98</v>
      </c>
    </row>
    <row r="66" spans="1:140" ht="44" customHeight="1" x14ac:dyDescent="0.35">
      <c r="A66" s="388">
        <v>58</v>
      </c>
      <c r="B66" s="215" t="s">
        <v>454</v>
      </c>
      <c r="C66" s="210">
        <v>58</v>
      </c>
      <c r="D66" s="196"/>
      <c r="E66" s="221"/>
      <c r="F66" s="197">
        <v>108165</v>
      </c>
      <c r="G66" s="197">
        <v>3259.0349999999999</v>
      </c>
      <c r="H66" s="241">
        <f t="shared" si="60"/>
        <v>33.189272284587311</v>
      </c>
      <c r="I66" s="241">
        <f t="shared" si="61"/>
        <v>98.195434116627368</v>
      </c>
      <c r="J66" s="212">
        <v>0</v>
      </c>
      <c r="K66" s="213">
        <v>0.850047150187214</v>
      </c>
      <c r="L66" s="213">
        <v>0.85</v>
      </c>
      <c r="M66" s="213">
        <v>1.88850002289</v>
      </c>
      <c r="N66" s="241">
        <f t="shared" si="212"/>
        <v>10816.5</v>
      </c>
      <c r="O66" s="221"/>
      <c r="P66" s="241">
        <f t="shared" si="62"/>
        <v>10252.29548663172</v>
      </c>
      <c r="Q66" s="241">
        <f t="shared" si="208"/>
        <v>10252.29548663172</v>
      </c>
      <c r="R66" s="242">
        <f t="shared" si="189"/>
        <v>2.1770000457799998</v>
      </c>
      <c r="S66" s="213">
        <v>1.0885000228899999</v>
      </c>
      <c r="T66" s="241">
        <f t="shared" si="190"/>
        <v>235475.20995179369</v>
      </c>
      <c r="U66" s="197">
        <v>2</v>
      </c>
      <c r="V66" s="243">
        <f t="shared" si="191"/>
        <v>2.514590304968344</v>
      </c>
      <c r="W66" s="243">
        <f t="shared" si="192"/>
        <v>7.9212897793565622</v>
      </c>
      <c r="X66" s="241">
        <f t="shared" si="193"/>
        <v>470950.41990358738</v>
      </c>
      <c r="Y66" s="242">
        <f t="shared" si="194"/>
        <v>4.5934771656916014E-2</v>
      </c>
      <c r="Z66" s="243">
        <f t="shared" si="195"/>
        <v>1.0550320183517889</v>
      </c>
      <c r="AA66" s="243">
        <f t="shared" si="196"/>
        <v>2.1769373278678807E-2</v>
      </c>
      <c r="AB66" s="245">
        <f t="shared" si="197"/>
        <v>2.076678978827716E-2</v>
      </c>
      <c r="AC66" s="245">
        <f t="shared" si="65"/>
        <v>3.1798174316477925</v>
      </c>
      <c r="AD66" s="245">
        <f t="shared" si="198"/>
        <v>21.770000457799998</v>
      </c>
      <c r="AE66" s="245">
        <f t="shared" si="199"/>
        <v>2.2525254295299602E-2</v>
      </c>
      <c r="AF66" s="221"/>
      <c r="AG66" s="211">
        <v>-73.267748999999995</v>
      </c>
      <c r="AH66" s="242">
        <f>(AG66^2*-0.304-43.623*AG66-1561.6)*0.4012-0.2907</f>
        <v>0.76744469719043074</v>
      </c>
      <c r="AI66" s="242">
        <f t="shared" si="66"/>
        <v>1.5636305839275826</v>
      </c>
      <c r="AJ66" s="242">
        <f t="shared" si="67"/>
        <v>2.9451778657466918</v>
      </c>
      <c r="AK66" s="242">
        <f t="shared" si="68"/>
        <v>1.2132788936122163</v>
      </c>
      <c r="AL66" s="242">
        <f t="shared" si="69"/>
        <v>0.96834108272974295</v>
      </c>
      <c r="AM66" s="213">
        <v>1.0885000228899999</v>
      </c>
      <c r="AN66" s="212">
        <v>1.0000554708084901</v>
      </c>
      <c r="AO66" s="212">
        <v>0.70592150880599103</v>
      </c>
      <c r="AP66" s="212">
        <v>0.58826792400499195</v>
      </c>
      <c r="AQ66" s="484">
        <f t="shared" si="70"/>
        <v>2.0885000228899999</v>
      </c>
      <c r="AR66" s="247" t="str">
        <f t="shared" si="187"/>
        <v>unlikely, too shallow</v>
      </c>
      <c r="AS66" s="221"/>
      <c r="AT66" s="197">
        <v>5806078</v>
      </c>
      <c r="AU66" s="197">
        <v>0</v>
      </c>
      <c r="AV66" s="197">
        <v>0</v>
      </c>
      <c r="AW66" s="197">
        <v>1327.377313427196</v>
      </c>
      <c r="AX66" s="197">
        <v>973.73091307106279</v>
      </c>
      <c r="AY66" s="197">
        <v>1238.1847806624894</v>
      </c>
      <c r="AZ66" s="197">
        <v>108.16500000000001</v>
      </c>
      <c r="BA66" s="214"/>
      <c r="BB66" s="197">
        <v>3647.4580071607479</v>
      </c>
      <c r="BC66" s="241">
        <f t="shared" si="213"/>
        <v>3647.4580071607479</v>
      </c>
      <c r="BD66" s="241">
        <f t="shared" si="200"/>
        <v>337.21240763285238</v>
      </c>
      <c r="BE66" s="241">
        <f t="shared" si="211"/>
        <v>3647.4580071607479</v>
      </c>
      <c r="BF66" s="241">
        <f t="shared" si="86"/>
        <v>337.21240763285238</v>
      </c>
      <c r="BG66" s="248">
        <f t="shared" si="209"/>
        <v>0</v>
      </c>
      <c r="BH66" s="221"/>
      <c r="BI66" s="213">
        <f t="shared" si="71"/>
        <v>237.51860000000002</v>
      </c>
      <c r="BJ66" s="197">
        <v>950074.4</v>
      </c>
      <c r="BK66" s="213">
        <v>0</v>
      </c>
      <c r="BL66" s="197">
        <f t="shared" si="82"/>
        <v>0</v>
      </c>
      <c r="BM66" s="197"/>
      <c r="BN66" s="221"/>
      <c r="BO66" s="241">
        <f t="shared" si="201"/>
        <v>10.8165</v>
      </c>
      <c r="BP66" s="241">
        <f t="shared" si="202"/>
        <v>98.195434116627368</v>
      </c>
      <c r="BQ66" s="242">
        <f t="shared" ref="BQ66:BQ96" si="214">M66</f>
        <v>1.88850002289</v>
      </c>
      <c r="BR66" s="241">
        <f t="shared" si="203"/>
        <v>2</v>
      </c>
      <c r="BS66" s="244">
        <f t="shared" si="204"/>
        <v>2.1769373278678807E-2</v>
      </c>
      <c r="BT66" s="242">
        <f t="shared" si="205"/>
        <v>3.1798174316477925</v>
      </c>
      <c r="BU66" s="241">
        <f t="shared" si="206"/>
        <v>0</v>
      </c>
      <c r="BV66" s="221"/>
      <c r="CI66" s="221"/>
      <c r="CJ66" s="303" t="str">
        <f t="shared" si="120"/>
        <v>intermediate complexity hydrodynamics</v>
      </c>
      <c r="CK66" s="304">
        <f t="shared" si="121"/>
        <v>2</v>
      </c>
      <c r="CL66" s="303" t="str">
        <f t="shared" si="122"/>
        <v>intermediate or complex water quality</v>
      </c>
      <c r="CM66" s="304">
        <f t="shared" si="123"/>
        <v>3</v>
      </c>
      <c r="CN66" s="303" t="str">
        <f t="shared" si="124"/>
        <v>shallow</v>
      </c>
      <c r="CO66" s="304">
        <f t="shared" si="125"/>
        <v>1</v>
      </c>
      <c r="CP66" s="303" t="str">
        <f t="shared" si="126"/>
        <v>very small</v>
      </c>
      <c r="CQ66" s="304">
        <f t="shared" si="127"/>
        <v>2</v>
      </c>
      <c r="CR66" s="303" t="str">
        <f t="shared" si="128"/>
        <v>very high</v>
      </c>
      <c r="CS66" s="304">
        <f t="shared" si="129"/>
        <v>5</v>
      </c>
      <c r="CT66" s="303" t="str">
        <f t="shared" si="130"/>
        <v>mid-estuary</v>
      </c>
      <c r="CU66" s="304">
        <f t="shared" si="131"/>
        <v>3</v>
      </c>
      <c r="CV66" s="304">
        <f t="shared" si="132"/>
        <v>108</v>
      </c>
      <c r="CW66" s="304" t="str">
        <f t="shared" si="133"/>
        <v>intermediate complexity hydrodynamics</v>
      </c>
      <c r="CX66" s="304">
        <f t="shared" si="188"/>
        <v>81</v>
      </c>
      <c r="CY66" s="304" t="str">
        <f t="shared" si="134"/>
        <v>intermediate complexity water quality</v>
      </c>
      <c r="CZ66" s="216" t="s">
        <v>402</v>
      </c>
      <c r="DA66" s="252" t="str">
        <f t="shared" si="207"/>
        <v>-</v>
      </c>
      <c r="DB66" s="251" t="str">
        <f t="shared" si="186"/>
        <v>intermediate complexity hydrodynamics; intermediate complexity water quality</v>
      </c>
      <c r="DC66" s="227"/>
      <c r="DD66" s="475" t="str">
        <f t="shared" si="73"/>
        <v>Pine Creek</v>
      </c>
      <c r="DE66" s="475">
        <f t="shared" si="74"/>
        <v>58</v>
      </c>
      <c r="DF66" s="465">
        <f t="shared" si="135"/>
        <v>5.81</v>
      </c>
      <c r="DG66" s="466">
        <f t="shared" si="136"/>
        <v>0.11</v>
      </c>
      <c r="DH66" s="465">
        <f t="shared" si="137"/>
        <v>3.26</v>
      </c>
      <c r="DI66" s="465">
        <f t="shared" si="138"/>
        <v>33.200000000000003</v>
      </c>
      <c r="DJ66" s="465">
        <f t="shared" si="139"/>
        <v>98</v>
      </c>
      <c r="DK66" s="465">
        <f t="shared" si="140"/>
        <v>0.9</v>
      </c>
      <c r="DL66" s="465">
        <f t="shared" si="141"/>
        <v>0.9</v>
      </c>
      <c r="DM66" s="465">
        <f t="shared" si="142"/>
        <v>1.9</v>
      </c>
      <c r="DN66" s="465">
        <f t="shared" si="143"/>
        <v>0</v>
      </c>
      <c r="DO66" s="465">
        <f t="shared" si="144"/>
        <v>10817</v>
      </c>
      <c r="DP66" s="465">
        <f t="shared" si="145"/>
        <v>235475</v>
      </c>
      <c r="DQ66" s="467">
        <f t="shared" si="146"/>
        <v>2.1800000000000002</v>
      </c>
      <c r="DR66" s="467">
        <f t="shared" si="147"/>
        <v>2</v>
      </c>
      <c r="DS66" s="467">
        <f t="shared" si="148"/>
        <v>10252</v>
      </c>
      <c r="DT66" s="467">
        <f t="shared" si="149"/>
        <v>1.1000000000000001</v>
      </c>
      <c r="DU66" s="467">
        <f t="shared" si="150"/>
        <v>0</v>
      </c>
      <c r="DV66" s="467">
        <f t="shared" si="151"/>
        <v>237.52</v>
      </c>
      <c r="DW66" s="467">
        <f t="shared" si="152"/>
        <v>0</v>
      </c>
      <c r="DX66" s="467">
        <f t="shared" si="153"/>
        <v>100</v>
      </c>
      <c r="DY66" s="467">
        <f t="shared" si="154"/>
        <v>71</v>
      </c>
      <c r="DZ66" s="467">
        <f t="shared" si="155"/>
        <v>59</v>
      </c>
      <c r="EA66" s="467">
        <f t="shared" si="156"/>
        <v>3647</v>
      </c>
      <c r="EB66" s="467">
        <f t="shared" si="157"/>
        <v>337</v>
      </c>
      <c r="EC66" s="467">
        <f t="shared" si="158"/>
        <v>0</v>
      </c>
      <c r="ED66" s="467">
        <f t="shared" si="159"/>
        <v>2.1770000000000001E-2</v>
      </c>
      <c r="EE66" s="467">
        <f t="shared" si="160"/>
        <v>3.18</v>
      </c>
      <c r="EF66" s="138">
        <f t="shared" si="75"/>
        <v>2.09</v>
      </c>
      <c r="EG66" s="138" t="str">
        <f t="shared" si="76"/>
        <v>unlikely, too shallow</v>
      </c>
      <c r="EH66" s="138">
        <f t="shared" si="77"/>
        <v>2.95</v>
      </c>
      <c r="EI66" s="138">
        <f t="shared" si="78"/>
        <v>1.21</v>
      </c>
      <c r="EJ66" s="138">
        <f t="shared" si="79"/>
        <v>0.97</v>
      </c>
    </row>
    <row r="67" spans="1:140" ht="44" customHeight="1" x14ac:dyDescent="0.35">
      <c r="A67" s="388">
        <v>59</v>
      </c>
      <c r="B67" s="215" t="s">
        <v>455</v>
      </c>
      <c r="C67" s="210">
        <v>59</v>
      </c>
      <c r="D67" s="196"/>
      <c r="E67" s="221"/>
      <c r="F67" s="197">
        <v>263852</v>
      </c>
      <c r="G67" s="197">
        <v>3066.643</v>
      </c>
      <c r="H67" s="241">
        <f t="shared" si="60"/>
        <v>86.039359651579915</v>
      </c>
      <c r="I67" s="241">
        <f t="shared" si="61"/>
        <v>35.642327097952645</v>
      </c>
      <c r="J67" s="212">
        <v>0</v>
      </c>
      <c r="K67" s="213">
        <v>0.85001610751481904</v>
      </c>
      <c r="L67" s="213">
        <v>0.85</v>
      </c>
      <c r="M67" s="213">
        <v>1.5</v>
      </c>
      <c r="N67" s="241">
        <f t="shared" si="212"/>
        <v>26385.200000000001</v>
      </c>
      <c r="O67" s="221"/>
      <c r="P67" s="241">
        <f t="shared" si="62"/>
        <v>149647.08724518307</v>
      </c>
      <c r="Q67" s="241">
        <f t="shared" si="208"/>
        <v>149647.08724518307</v>
      </c>
      <c r="R67" s="242">
        <f t="shared" si="189"/>
        <v>2.2056000232600002</v>
      </c>
      <c r="S67" s="213">
        <v>1.1028000116300001</v>
      </c>
      <c r="T67" s="241">
        <f t="shared" si="190"/>
        <v>581951.97733719752</v>
      </c>
      <c r="U67" s="197">
        <v>12</v>
      </c>
      <c r="V67" s="243">
        <f t="shared" si="191"/>
        <v>2.4107952192429836</v>
      </c>
      <c r="W67" s="243">
        <f t="shared" si="192"/>
        <v>7.5873552602374303</v>
      </c>
      <c r="X67" s="241">
        <f t="shared" si="193"/>
        <v>1163903.954674395</v>
      </c>
      <c r="Y67" s="242">
        <f t="shared" si="194"/>
        <v>4.5339136264695185E-2</v>
      </c>
      <c r="Z67" s="243">
        <f t="shared" si="195"/>
        <v>0.17631616148178189</v>
      </c>
      <c r="AA67" s="243">
        <f t="shared" si="196"/>
        <v>0.12857339872777321</v>
      </c>
      <c r="AB67" s="245">
        <f t="shared" si="197"/>
        <v>6.6149969646868964E-2</v>
      </c>
      <c r="AC67" s="245">
        <f t="shared" si="65"/>
        <v>1.7149729337851458</v>
      </c>
      <c r="AD67" s="245">
        <f t="shared" si="198"/>
        <v>22.056000232599999</v>
      </c>
      <c r="AE67" s="245">
        <f t="shared" si="199"/>
        <v>0.13303775285026531</v>
      </c>
      <c r="AF67" s="221"/>
      <c r="AG67" s="211">
        <v>-73.286663000000004</v>
      </c>
      <c r="AH67" s="246">
        <v>0.57797780072033</v>
      </c>
      <c r="AI67" s="246">
        <f t="shared" si="66"/>
        <v>2.0762043083738644</v>
      </c>
      <c r="AJ67" s="246">
        <f t="shared" si="67"/>
        <v>2.218071780033525</v>
      </c>
      <c r="AK67" s="246">
        <f t="shared" si="68"/>
        <v>0.91374436380577284</v>
      </c>
      <c r="AL67" s="246">
        <f t="shared" si="69"/>
        <v>0.72927684742918131</v>
      </c>
      <c r="AM67" s="218">
        <v>1.1028000116300001</v>
      </c>
      <c r="AN67" s="212">
        <v>1.0000189500174299</v>
      </c>
      <c r="AO67" s="212">
        <v>0.52942179706805303</v>
      </c>
      <c r="AP67" s="212">
        <v>0.41177250883070798</v>
      </c>
      <c r="AQ67" s="484">
        <f t="shared" si="70"/>
        <v>2.1028000116300003</v>
      </c>
      <c r="AR67" s="247" t="str">
        <f t="shared" si="187"/>
        <v>unlikely, too shallow</v>
      </c>
      <c r="AS67" s="221"/>
      <c r="AT67" s="197">
        <v>87074320</v>
      </c>
      <c r="AU67" s="197">
        <v>0</v>
      </c>
      <c r="AV67" s="197">
        <v>0</v>
      </c>
      <c r="AW67" s="197">
        <v>12177.714310364676</v>
      </c>
      <c r="AX67" s="197">
        <v>12914.092844762148</v>
      </c>
      <c r="AY67" s="197">
        <v>6359.6878115696882</v>
      </c>
      <c r="AZ67" s="197">
        <v>263.85200000000003</v>
      </c>
      <c r="BA67" s="214"/>
      <c r="BB67" s="197">
        <v>31715.34696669651</v>
      </c>
      <c r="BC67" s="241">
        <f t="shared" si="213"/>
        <v>31715.34696669651</v>
      </c>
      <c r="BD67" s="241">
        <f t="shared" si="200"/>
        <v>1202.0127558895331</v>
      </c>
      <c r="BE67" s="241">
        <f t="shared" si="211"/>
        <v>31715.34696669651</v>
      </c>
      <c r="BF67" s="241">
        <f t="shared" si="86"/>
        <v>1202.0127558895331</v>
      </c>
      <c r="BG67" s="248">
        <f t="shared" si="209"/>
        <v>0</v>
      </c>
      <c r="BH67" s="221"/>
      <c r="BI67" s="213">
        <f t="shared" si="71"/>
        <v>0</v>
      </c>
      <c r="BJ67" s="197">
        <v>0</v>
      </c>
      <c r="BK67" s="213">
        <v>0</v>
      </c>
      <c r="BL67" s="197">
        <f t="shared" si="82"/>
        <v>0</v>
      </c>
      <c r="BM67" s="197"/>
      <c r="BN67" s="221"/>
      <c r="BO67" s="241">
        <f t="shared" si="201"/>
        <v>26.385200000000001</v>
      </c>
      <c r="BP67" s="241">
        <f t="shared" si="202"/>
        <v>35.642327097952645</v>
      </c>
      <c r="BQ67" s="242">
        <f t="shared" si="214"/>
        <v>1.5</v>
      </c>
      <c r="BR67" s="241">
        <f t="shared" si="203"/>
        <v>2</v>
      </c>
      <c r="BS67" s="244">
        <f t="shared" si="204"/>
        <v>0.12857339872777321</v>
      </c>
      <c r="BT67" s="242">
        <f t="shared" si="205"/>
        <v>1.7149729337851458</v>
      </c>
      <c r="BU67" s="241">
        <f t="shared" si="206"/>
        <v>0</v>
      </c>
      <c r="BV67" s="221"/>
      <c r="CI67" s="221"/>
      <c r="CJ67" s="303" t="str">
        <f t="shared" si="120"/>
        <v>complex hydrodynamics</v>
      </c>
      <c r="CK67" s="304">
        <f t="shared" si="121"/>
        <v>3</v>
      </c>
      <c r="CL67" s="303" t="str">
        <f t="shared" si="122"/>
        <v>intermediate complexity water quality</v>
      </c>
      <c r="CM67" s="304">
        <f t="shared" si="123"/>
        <v>2</v>
      </c>
      <c r="CN67" s="303" t="str">
        <f t="shared" si="124"/>
        <v>shallow</v>
      </c>
      <c r="CO67" s="304">
        <f t="shared" si="125"/>
        <v>1</v>
      </c>
      <c r="CP67" s="303" t="str">
        <f t="shared" si="126"/>
        <v>small</v>
      </c>
      <c r="CQ67" s="304">
        <f t="shared" si="127"/>
        <v>3</v>
      </c>
      <c r="CR67" s="303" t="str">
        <f t="shared" si="128"/>
        <v>moderate</v>
      </c>
      <c r="CS67" s="304">
        <f t="shared" si="129"/>
        <v>3</v>
      </c>
      <c r="CT67" s="303" t="str">
        <f t="shared" si="130"/>
        <v>mid-estuary</v>
      </c>
      <c r="CU67" s="304">
        <f t="shared" si="131"/>
        <v>3</v>
      </c>
      <c r="CV67" s="304">
        <f t="shared" si="132"/>
        <v>126</v>
      </c>
      <c r="CW67" s="304" t="str">
        <f t="shared" si="133"/>
        <v>intermediate complexity hydrodynamics</v>
      </c>
      <c r="CX67" s="304">
        <f t="shared" si="188"/>
        <v>68</v>
      </c>
      <c r="CY67" s="304" t="str">
        <f t="shared" si="134"/>
        <v>intermediate complexity water quality</v>
      </c>
      <c r="CZ67" s="216" t="s">
        <v>628</v>
      </c>
      <c r="DA67" s="252" t="str">
        <f t="shared" si="207"/>
        <v>-</v>
      </c>
      <c r="DB67" s="251" t="str">
        <f t="shared" si="186"/>
        <v>intermediate complexity hydrodynamics; intermediate complexity water quality</v>
      </c>
      <c r="DC67" s="227"/>
      <c r="DD67" s="475" t="str">
        <f t="shared" si="73"/>
        <v>Mill River</v>
      </c>
      <c r="DE67" s="475">
        <f t="shared" si="74"/>
        <v>59</v>
      </c>
      <c r="DF67" s="465">
        <f t="shared" si="135"/>
        <v>87.07</v>
      </c>
      <c r="DG67" s="466">
        <f t="shared" si="136"/>
        <v>0.26</v>
      </c>
      <c r="DH67" s="465">
        <f t="shared" si="137"/>
        <v>3.07</v>
      </c>
      <c r="DI67" s="465">
        <f t="shared" si="138"/>
        <v>86</v>
      </c>
      <c r="DJ67" s="465">
        <f t="shared" si="139"/>
        <v>36</v>
      </c>
      <c r="DK67" s="465">
        <f t="shared" si="140"/>
        <v>0.9</v>
      </c>
      <c r="DL67" s="465">
        <f t="shared" si="141"/>
        <v>0.9</v>
      </c>
      <c r="DM67" s="465">
        <f t="shared" si="142"/>
        <v>1.5</v>
      </c>
      <c r="DN67" s="465">
        <f t="shared" si="143"/>
        <v>0</v>
      </c>
      <c r="DO67" s="465">
        <f t="shared" si="144"/>
        <v>26385</v>
      </c>
      <c r="DP67" s="465">
        <f t="shared" si="145"/>
        <v>581952</v>
      </c>
      <c r="DQ67" s="467">
        <f t="shared" si="146"/>
        <v>2.21</v>
      </c>
      <c r="DR67" s="467">
        <f t="shared" si="147"/>
        <v>12</v>
      </c>
      <c r="DS67" s="467">
        <f t="shared" si="148"/>
        <v>149647</v>
      </c>
      <c r="DT67" s="467">
        <f t="shared" si="149"/>
        <v>0.2</v>
      </c>
      <c r="DU67" s="467">
        <f t="shared" si="150"/>
        <v>0</v>
      </c>
      <c r="DV67" s="467">
        <f t="shared" si="151"/>
        <v>0</v>
      </c>
      <c r="DW67" s="467">
        <f t="shared" si="152"/>
        <v>0</v>
      </c>
      <c r="DX67" s="467">
        <f t="shared" si="153"/>
        <v>100</v>
      </c>
      <c r="DY67" s="467">
        <f t="shared" si="154"/>
        <v>53</v>
      </c>
      <c r="DZ67" s="467">
        <f t="shared" si="155"/>
        <v>41</v>
      </c>
      <c r="EA67" s="467">
        <f t="shared" si="156"/>
        <v>31715</v>
      </c>
      <c r="EB67" s="467">
        <f t="shared" si="157"/>
        <v>1202</v>
      </c>
      <c r="EC67" s="467">
        <f t="shared" si="158"/>
        <v>0</v>
      </c>
      <c r="ED67" s="467">
        <f t="shared" si="159"/>
        <v>0.12856999999999999</v>
      </c>
      <c r="EE67" s="467">
        <f t="shared" si="160"/>
        <v>1.71</v>
      </c>
      <c r="EF67" s="138">
        <f t="shared" si="75"/>
        <v>2.1</v>
      </c>
      <c r="EG67" s="138" t="str">
        <f t="shared" si="76"/>
        <v>unlikely, too shallow</v>
      </c>
      <c r="EH67" s="138">
        <f t="shared" si="77"/>
        <v>2.2200000000000002</v>
      </c>
      <c r="EI67" s="138">
        <f t="shared" si="78"/>
        <v>0.91</v>
      </c>
      <c r="EJ67" s="138">
        <f t="shared" si="79"/>
        <v>0.73</v>
      </c>
    </row>
    <row r="68" spans="1:140" ht="44" customHeight="1" x14ac:dyDescent="0.35">
      <c r="A68" s="388">
        <v>60</v>
      </c>
      <c r="B68" s="215" t="s">
        <v>456</v>
      </c>
      <c r="C68" s="210">
        <v>60</v>
      </c>
      <c r="D68" s="196"/>
      <c r="E68" s="221"/>
      <c r="F68" s="197">
        <v>54497</v>
      </c>
      <c r="G68" s="197">
        <v>1742.6790000000001</v>
      </c>
      <c r="H68" s="241">
        <f t="shared" si="60"/>
        <v>31.271966896944299</v>
      </c>
      <c r="I68" s="241">
        <f t="shared" si="61"/>
        <v>55.726555535919417</v>
      </c>
      <c r="J68" s="212">
        <v>0</v>
      </c>
      <c r="K68" s="213">
        <v>0.85007798594418105</v>
      </c>
      <c r="L68" s="213">
        <v>0.85</v>
      </c>
      <c r="M68" s="213">
        <v>1.90469996929</v>
      </c>
      <c r="N68" s="241">
        <f t="shared" si="212"/>
        <v>5449.7000000000007</v>
      </c>
      <c r="O68" s="221"/>
      <c r="P68" s="241">
        <f t="shared" si="62"/>
        <v>42677.089987695137</v>
      </c>
      <c r="Q68" s="241">
        <f t="shared" si="208"/>
        <v>42677.089987695137</v>
      </c>
      <c r="R68" s="242">
        <f t="shared" si="189"/>
        <v>2.2093999385799998</v>
      </c>
      <c r="S68" s="213">
        <v>1.1046999692899999</v>
      </c>
      <c r="T68" s="241">
        <f t="shared" si="190"/>
        <v>120405.66845279426</v>
      </c>
      <c r="U68" s="197">
        <v>0</v>
      </c>
      <c r="V68" s="243">
        <f t="shared" si="191"/>
        <v>1.4664664416293538</v>
      </c>
      <c r="W68" s="243">
        <f t="shared" si="192"/>
        <v>4.5979541824768626</v>
      </c>
      <c r="X68" s="241">
        <f t="shared" si="193"/>
        <v>240811.33690558851</v>
      </c>
      <c r="Y68" s="242">
        <f t="shared" si="194"/>
        <v>4.5261158133402889E-2</v>
      </c>
      <c r="Z68" s="243">
        <f t="shared" si="195"/>
        <v>0.12769614801691689</v>
      </c>
      <c r="AA68" s="243">
        <f t="shared" si="196"/>
        <v>0.17722209650132434</v>
      </c>
      <c r="AB68" s="245">
        <f t="shared" si="197"/>
        <v>0.11175036820492083</v>
      </c>
      <c r="AC68" s="245">
        <f t="shared" si="65"/>
        <v>2.101889294301134</v>
      </c>
      <c r="AD68" s="245">
        <f t="shared" si="198"/>
        <v>22.093999385799997</v>
      </c>
      <c r="AE68" s="245">
        <f t="shared" si="199"/>
        <v>0.18337564151873145</v>
      </c>
      <c r="AF68" s="221"/>
      <c r="AG68" s="211">
        <v>-73.297574999999995</v>
      </c>
      <c r="AH68" s="242">
        <f t="shared" ref="AH68:AH74" si="215">(AG68^2*-0.304-43.623*AG68-1561.6)*0.4012-0.2907</f>
        <v>0.75628193406468225</v>
      </c>
      <c r="AI68" s="242">
        <f t="shared" si="66"/>
        <v>1.5867098577253176</v>
      </c>
      <c r="AJ68" s="242">
        <f t="shared" si="67"/>
        <v>2.9023391791300717</v>
      </c>
      <c r="AK68" s="242">
        <f t="shared" si="68"/>
        <v>1.1956313094352127</v>
      </c>
      <c r="AL68" s="242">
        <f t="shared" si="69"/>
        <v>0.95425620837851566</v>
      </c>
      <c r="AM68" s="213">
        <v>1.1046999692899999</v>
      </c>
      <c r="AN68" s="212">
        <v>1.0000917481696201</v>
      </c>
      <c r="AO68" s="212">
        <v>0.70594711635502905</v>
      </c>
      <c r="AP68" s="212">
        <v>0.58828926362919098</v>
      </c>
      <c r="AQ68" s="484">
        <f t="shared" si="70"/>
        <v>2.1046999692899999</v>
      </c>
      <c r="AR68" s="247" t="str">
        <f t="shared" si="187"/>
        <v>unlikely, too shallow</v>
      </c>
      <c r="AS68" s="221"/>
      <c r="AT68" s="197">
        <v>24519570</v>
      </c>
      <c r="AU68" s="197">
        <v>0</v>
      </c>
      <c r="AV68" s="197">
        <v>0</v>
      </c>
      <c r="AW68" s="197">
        <v>5055.8707003428335</v>
      </c>
      <c r="AX68" s="197">
        <v>4679.5235932339583</v>
      </c>
      <c r="AY68" s="197">
        <v>1773.2853782359623</v>
      </c>
      <c r="AZ68" s="197">
        <v>54.497</v>
      </c>
      <c r="BA68" s="214"/>
      <c r="BB68" s="197">
        <v>11563.176671812755</v>
      </c>
      <c r="BC68" s="241">
        <f t="shared" si="213"/>
        <v>11563.176671812755</v>
      </c>
      <c r="BD68" s="241">
        <f t="shared" si="200"/>
        <v>2121.8005893558829</v>
      </c>
      <c r="BE68" s="241">
        <f t="shared" si="211"/>
        <v>11563.176671812755</v>
      </c>
      <c r="BF68" s="241">
        <f t="shared" si="86"/>
        <v>2121.8005893558829</v>
      </c>
      <c r="BG68" s="248">
        <f t="shared" si="209"/>
        <v>0</v>
      </c>
      <c r="BH68" s="221"/>
      <c r="BI68" s="213">
        <f t="shared" si="71"/>
        <v>20.179297500000001</v>
      </c>
      <c r="BJ68" s="197">
        <v>80717.19</v>
      </c>
      <c r="BK68" s="213">
        <v>0</v>
      </c>
      <c r="BL68" s="197">
        <f t="shared" si="82"/>
        <v>0</v>
      </c>
      <c r="BM68" s="197"/>
      <c r="BN68" s="221"/>
      <c r="BO68" s="241">
        <f t="shared" si="201"/>
        <v>5.4497</v>
      </c>
      <c r="BP68" s="241">
        <f t="shared" si="202"/>
        <v>55.726555535919417</v>
      </c>
      <c r="BQ68" s="242">
        <f t="shared" si="214"/>
        <v>1.90469996929</v>
      </c>
      <c r="BR68" s="241">
        <f t="shared" si="203"/>
        <v>0</v>
      </c>
      <c r="BS68" s="244">
        <f t="shared" si="204"/>
        <v>0.17722209650132434</v>
      </c>
      <c r="BT68" s="242">
        <f t="shared" si="205"/>
        <v>2.101889294301134</v>
      </c>
      <c r="BU68" s="241">
        <f t="shared" si="206"/>
        <v>0</v>
      </c>
      <c r="BV68" s="221"/>
      <c r="CH68" s="275"/>
      <c r="CI68" s="221"/>
      <c r="CJ68" s="303" t="str">
        <f t="shared" ref="CJ68:CJ96" si="216">LOOKUP(BS68,$BX$5:$BX$7,$BY$5:$BY$7)</f>
        <v>complex hydrodynamics</v>
      </c>
      <c r="CK68" s="304">
        <f t="shared" ref="CK68:CK96" si="217">LOOKUP(BS68,$BX$5:$BX$7,$BZ$5:$BZ$7)</f>
        <v>3</v>
      </c>
      <c r="CL68" s="303" t="str">
        <f t="shared" ref="CL68:CL96" si="218">LOOKUP(BT68,$CC$5:$CC$8,$CD$5:$CD$8)</f>
        <v>intermediate complexity water quality</v>
      </c>
      <c r="CM68" s="304">
        <f t="shared" ref="CM68:CM96" si="219">LOOKUP(BT68,$CC$5:$CC$8,$CE$5:$CE$8)</f>
        <v>2</v>
      </c>
      <c r="CN68" s="303" t="str">
        <f t="shared" ref="CN68:CN96" si="220">LOOKUP(BQ68,$BW$13:$BW$17,$BX$13:$BX$17)</f>
        <v>shallow</v>
      </c>
      <c r="CO68" s="304">
        <f t="shared" ref="CO68:CO96" si="221">LOOKUP(BQ68,$BW$13:$BW$17,$BY$13:$BY$17)</f>
        <v>1</v>
      </c>
      <c r="CP68" s="303" t="str">
        <f t="shared" ref="CP68:CP96" si="222">LOOKUP(BO68,$BZ$13:$BZ$18,$CA$13:$CA$18)</f>
        <v>tiny</v>
      </c>
      <c r="CQ68" s="304">
        <f t="shared" ref="CQ68:CQ96" si="223">LOOKUP(BO68,$BZ$13:$BZ$18,$CB$13:$CB$18)</f>
        <v>1</v>
      </c>
      <c r="CR68" s="303" t="str">
        <f t="shared" ref="CR68:CR96" si="224">LOOKUP(BP68,$CC$13:$CC$17,$CD$13:$CD$17)</f>
        <v>high</v>
      </c>
      <c r="CS68" s="304">
        <f t="shared" ref="CS68:CS96" si="225">LOOKUP(BP68,$CC$13:$CC$17,$CE$13:$CE$17)</f>
        <v>4</v>
      </c>
      <c r="CT68" s="303" t="str">
        <f t="shared" ref="CT68:CT96" si="226">LOOKUP(BR68,$CF$13:$CF$18,$CG$13:$CG$18)</f>
        <v>none</v>
      </c>
      <c r="CU68" s="304">
        <f t="shared" ref="CU68:CU96" si="227">LOOKUP(BR68,$CF$13:$CF$18,$CH$13:$CH$18)</f>
        <v>1</v>
      </c>
      <c r="CV68" s="304">
        <f t="shared" ref="CV68:CV96" si="228">CK68*$CA$5+CM68*$CF$5+CU68*$CG$10+CQ68*$CA$10+CS68*$CD$10+CO68*$BX$10</f>
        <v>105</v>
      </c>
      <c r="CW68" s="304" t="str">
        <f t="shared" ref="CW68:CW96" si="229">LOOKUP(CV68,$BW$20:$BW$23,$BX$20:$BX$23)</f>
        <v>intermediate complexity hydrodynamics</v>
      </c>
      <c r="CX68" s="304">
        <f t="shared" si="188"/>
        <v>59</v>
      </c>
      <c r="CY68" s="304" t="str">
        <f t="shared" ref="CY68:CY96" si="230">LOOKUP(CX68,$CB$20:$CB$23,$CC$20:$CC$23)</f>
        <v>intermediate complexity water quality</v>
      </c>
      <c r="CZ68" s="216" t="s">
        <v>629</v>
      </c>
      <c r="DA68" s="252" t="str">
        <f t="shared" si="207"/>
        <v>-</v>
      </c>
      <c r="DB68" s="251" t="str">
        <f t="shared" si="186"/>
        <v>intermediate complexity hydrodynamics; intermediate complexity water quality</v>
      </c>
      <c r="DC68" s="227"/>
      <c r="DD68" s="475" t="str">
        <f t="shared" si="73"/>
        <v>Sasco Brook</v>
      </c>
      <c r="DE68" s="475">
        <f t="shared" si="74"/>
        <v>60</v>
      </c>
      <c r="DF68" s="465">
        <f t="shared" ref="DF68:DF96" si="231">ROUND(AT68/1000/1000,2)</f>
        <v>24.52</v>
      </c>
      <c r="DG68" s="466">
        <f t="shared" ref="DG68:DG96" si="232">ROUND(F68/1000/1000,2)</f>
        <v>0.05</v>
      </c>
      <c r="DH68" s="465">
        <f t="shared" ref="DH68:DH96" si="233">ROUND(G68/1000,2)</f>
        <v>1.74</v>
      </c>
      <c r="DI68" s="465">
        <f t="shared" ref="DI68:DI96" si="234">ROUND(H68,1)</f>
        <v>31.3</v>
      </c>
      <c r="DJ68" s="465">
        <f t="shared" ref="DJ68:DJ96" si="235">ROUND(I68,0)</f>
        <v>56</v>
      </c>
      <c r="DK68" s="465">
        <f t="shared" ref="DK68:DK96" si="236">ROUND(K68,1)</f>
        <v>0.9</v>
      </c>
      <c r="DL68" s="465">
        <f t="shared" ref="DL68:DL96" si="237">ROUND(L68,1)</f>
        <v>0.9</v>
      </c>
      <c r="DM68" s="465">
        <f t="shared" ref="DM68:DM96" si="238">ROUND(M68,1)</f>
        <v>1.9</v>
      </c>
      <c r="DN68" s="465">
        <f t="shared" ref="DN68:DN96" si="239">ROUND(J68*100,0)</f>
        <v>0</v>
      </c>
      <c r="DO68" s="465">
        <f t="shared" ref="DO68:DO96" si="240">ROUND(N68,0)</f>
        <v>5450</v>
      </c>
      <c r="DP68" s="465">
        <f t="shared" ref="DP68:DP96" si="241">ROUND(T68,0)</f>
        <v>120406</v>
      </c>
      <c r="DQ68" s="467">
        <f t="shared" ref="DQ68:DQ96" si="242">ROUND(R68,2)</f>
        <v>2.21</v>
      </c>
      <c r="DR68" s="467">
        <f t="shared" ref="DR68:DR96" si="243">ROUND(U68,0)</f>
        <v>0</v>
      </c>
      <c r="DS68" s="467">
        <f t="shared" ref="DS68:DS96" si="244">ROUND(Q68,0)</f>
        <v>42677</v>
      </c>
      <c r="DT68" s="467">
        <f t="shared" ref="DT68:DT96" si="245">ROUND(Z68,1)</f>
        <v>0.1</v>
      </c>
      <c r="DU68" s="467">
        <f t="shared" ref="DU68:DU96" si="246">ROUND(Y68,1)</f>
        <v>0</v>
      </c>
      <c r="DV68" s="467">
        <f t="shared" ref="DV68:DV96" si="247">ROUND(BI68,2)</f>
        <v>20.18</v>
      </c>
      <c r="DW68" s="467">
        <f t="shared" ref="DW68:DW96" si="248">ROUND(BK68,2)</f>
        <v>0</v>
      </c>
      <c r="DX68" s="467">
        <f t="shared" ref="DX68:DX96" si="249">ROUND(AN68*100,0)</f>
        <v>100</v>
      </c>
      <c r="DY68" s="467">
        <f t="shared" ref="DY68:DY96" si="250">ROUND(AO68*100,0)</f>
        <v>71</v>
      </c>
      <c r="DZ68" s="467">
        <f t="shared" ref="DZ68:DZ96" si="251">ROUND(AP68*100,0)</f>
        <v>59</v>
      </c>
      <c r="EA68" s="467">
        <f t="shared" ref="EA68:EA96" si="252">ROUND(BE68,0)</f>
        <v>11563</v>
      </c>
      <c r="EB68" s="467">
        <f t="shared" ref="EB68:EB96" si="253">ROUND(BF68,0)</f>
        <v>2122</v>
      </c>
      <c r="EC68" s="467">
        <f t="shared" ref="EC68:EC96" si="254">ROUND(BG68,0)</f>
        <v>0</v>
      </c>
      <c r="ED68" s="467">
        <f t="shared" ref="ED68:ED96" si="255">ROUND(BS68,5)</f>
        <v>0.17721999999999999</v>
      </c>
      <c r="EE68" s="467">
        <f t="shared" ref="EE68:EE96" si="256">ROUND(BT68,2)</f>
        <v>2.1</v>
      </c>
      <c r="EF68" s="138">
        <f t="shared" si="75"/>
        <v>2.1</v>
      </c>
      <c r="EG68" s="138" t="str">
        <f t="shared" si="76"/>
        <v>unlikely, too shallow</v>
      </c>
      <c r="EH68" s="138">
        <f t="shared" si="77"/>
        <v>2.9</v>
      </c>
      <c r="EI68" s="138">
        <f t="shared" si="78"/>
        <v>1.2</v>
      </c>
      <c r="EJ68" s="138">
        <f t="shared" si="79"/>
        <v>0.95</v>
      </c>
    </row>
    <row r="69" spans="1:140" s="275" customFormat="1" ht="44" customHeight="1" x14ac:dyDescent="0.35">
      <c r="A69" s="389">
        <v>61</v>
      </c>
      <c r="B69" s="281" t="s">
        <v>457</v>
      </c>
      <c r="C69" s="257">
        <v>61</v>
      </c>
      <c r="D69" s="256" t="s">
        <v>398</v>
      </c>
      <c r="E69" s="258"/>
      <c r="F69" s="259">
        <v>431093</v>
      </c>
      <c r="G69" s="259">
        <v>3125.326</v>
      </c>
      <c r="H69" s="260">
        <f t="shared" si="60"/>
        <v>137.93537058214088</v>
      </c>
      <c r="I69" s="260">
        <f t="shared" si="61"/>
        <v>22.657901209892064</v>
      </c>
      <c r="J69" s="261">
        <v>0</v>
      </c>
      <c r="K69" s="262">
        <v>0.84998619787377705</v>
      </c>
      <c r="L69" s="262">
        <v>0.85</v>
      </c>
      <c r="M69" s="262">
        <v>1.90469996929</v>
      </c>
      <c r="N69" s="260">
        <f t="shared" si="212"/>
        <v>43109.3</v>
      </c>
      <c r="O69" s="258"/>
      <c r="P69" s="260">
        <f t="shared" si="62"/>
        <v>25756.370607010733</v>
      </c>
      <c r="Q69" s="260">
        <f t="shared" si="208"/>
        <v>25756.370607010733</v>
      </c>
      <c r="R69" s="263">
        <f t="shared" si="189"/>
        <v>2.2093999385799998</v>
      </c>
      <c r="S69" s="262">
        <v>1.1046999692899999</v>
      </c>
      <c r="T69" s="260">
        <f t="shared" si="190"/>
        <v>952456.84772226785</v>
      </c>
      <c r="U69" s="259">
        <v>1</v>
      </c>
      <c r="V69" s="264">
        <f t="shared" si="191"/>
        <v>2.4658207823172349</v>
      </c>
      <c r="W69" s="264">
        <f t="shared" si="192"/>
        <v>7.7599286866337165</v>
      </c>
      <c r="X69" s="260">
        <f t="shared" si="193"/>
        <v>1904913.6954445357</v>
      </c>
      <c r="Y69" s="263">
        <f t="shared" si="194"/>
        <v>4.5261158133402889E-2</v>
      </c>
      <c r="Z69" s="264">
        <f t="shared" si="195"/>
        <v>1.6737334874450791</v>
      </c>
      <c r="AA69" s="264">
        <f t="shared" si="196"/>
        <v>1.3521017077364314E-2</v>
      </c>
      <c r="AB69" s="266">
        <f t="shared" si="197"/>
        <v>2.0780756739362968E-2</v>
      </c>
      <c r="AC69" s="266">
        <f t="shared" si="65"/>
        <v>5.1230753378142104</v>
      </c>
      <c r="AD69" s="266">
        <f t="shared" si="198"/>
        <v>22.093999385799997</v>
      </c>
      <c r="AE69" s="266">
        <f t="shared" si="199"/>
        <v>1.399049683699502E-2</v>
      </c>
      <c r="AF69" s="258"/>
      <c r="AG69" s="267">
        <v>-73.344133999999997</v>
      </c>
      <c r="AH69" s="263">
        <f t="shared" si="215"/>
        <v>0.73842287428969144</v>
      </c>
      <c r="AI69" s="263">
        <f t="shared" si="66"/>
        <v>1.625085085770551</v>
      </c>
      <c r="AJ69" s="263">
        <f t="shared" si="67"/>
        <v>2.8338025044420991</v>
      </c>
      <c r="AK69" s="263">
        <f t="shared" si="68"/>
        <v>1.1673973267598736</v>
      </c>
      <c r="AL69" s="263">
        <f t="shared" si="69"/>
        <v>0.93172212697517687</v>
      </c>
      <c r="AM69" s="262">
        <v>1.1046999692899999</v>
      </c>
      <c r="AN69" s="261">
        <v>0.99998376220444296</v>
      </c>
      <c r="AO69" s="261">
        <v>0.70587089096784195</v>
      </c>
      <c r="AP69" s="261">
        <v>0.52940316822588196</v>
      </c>
      <c r="AQ69" s="481">
        <f t="shared" ref="AQ69:AQ96" si="257">1+S69</f>
        <v>2.1046999692899999</v>
      </c>
      <c r="AR69" s="268" t="str">
        <f t="shared" si="187"/>
        <v>unlikely, too shallow</v>
      </c>
      <c r="AS69" s="258"/>
      <c r="AT69" s="259">
        <v>14722700</v>
      </c>
      <c r="AU69" s="259">
        <v>0</v>
      </c>
      <c r="AV69" s="259">
        <v>0</v>
      </c>
      <c r="AW69" s="259">
        <v>6792.7308337545364</v>
      </c>
      <c r="AX69" s="259">
        <v>5215.7915976170116</v>
      </c>
      <c r="AY69" s="259">
        <v>2204.4710887327128</v>
      </c>
      <c r="AZ69" s="259">
        <v>431.09300000000002</v>
      </c>
      <c r="BA69" s="269"/>
      <c r="BB69" s="259">
        <v>14644.086520104262</v>
      </c>
      <c r="BC69" s="260">
        <f t="shared" si="213"/>
        <v>14644.086520104262</v>
      </c>
      <c r="BD69" s="260">
        <f t="shared" si="200"/>
        <v>339.69669004377852</v>
      </c>
      <c r="BE69" s="260">
        <f t="shared" si="211"/>
        <v>14644.086520104262</v>
      </c>
      <c r="BF69" s="260">
        <f t="shared" si="86"/>
        <v>339.69669004377852</v>
      </c>
      <c r="BG69" s="270">
        <f t="shared" si="209"/>
        <v>0</v>
      </c>
      <c r="BH69" s="258"/>
      <c r="BI69" s="262">
        <f t="shared" ref="BI69:BI96" si="258">BJ69*0.00025</f>
        <v>147.512675</v>
      </c>
      <c r="BJ69" s="259">
        <v>590050.69999999995</v>
      </c>
      <c r="BK69" s="262">
        <v>0</v>
      </c>
      <c r="BL69" s="259">
        <f t="shared" si="82"/>
        <v>0</v>
      </c>
      <c r="BM69" s="259"/>
      <c r="BN69" s="258"/>
      <c r="BO69" s="260">
        <f t="shared" si="201"/>
        <v>43.109299999999998</v>
      </c>
      <c r="BP69" s="260">
        <f t="shared" si="202"/>
        <v>22.657901209892064</v>
      </c>
      <c r="BQ69" s="263">
        <f t="shared" si="214"/>
        <v>1.90469996929</v>
      </c>
      <c r="BR69" s="260">
        <f t="shared" si="203"/>
        <v>1</v>
      </c>
      <c r="BS69" s="265">
        <f t="shared" si="204"/>
        <v>1.3521017077364314E-2</v>
      </c>
      <c r="BT69" s="263">
        <f t="shared" si="205"/>
        <v>5.1230753378142104</v>
      </c>
      <c r="BU69" s="260">
        <f t="shared" si="206"/>
        <v>0</v>
      </c>
      <c r="BV69" s="258"/>
      <c r="BW69" s="138"/>
      <c r="BX69" s="138"/>
      <c r="BY69" s="138"/>
      <c r="BZ69" s="138"/>
      <c r="CA69" s="138"/>
      <c r="CB69" s="138"/>
      <c r="CC69" s="138"/>
      <c r="CD69" s="138"/>
      <c r="CE69" s="138"/>
      <c r="CF69" s="138"/>
      <c r="CG69" s="138"/>
      <c r="CI69" s="258"/>
      <c r="CJ69" s="312" t="str">
        <f t="shared" si="216"/>
        <v>intermediate complexity hydrodynamics</v>
      </c>
      <c r="CK69" s="313">
        <f t="shared" si="217"/>
        <v>2</v>
      </c>
      <c r="CL69" s="312" t="str">
        <f t="shared" si="218"/>
        <v>complex water quality</v>
      </c>
      <c r="CM69" s="313">
        <f t="shared" si="219"/>
        <v>4</v>
      </c>
      <c r="CN69" s="312" t="str">
        <f t="shared" si="220"/>
        <v>shallow</v>
      </c>
      <c r="CO69" s="313">
        <f t="shared" si="221"/>
        <v>1</v>
      </c>
      <c r="CP69" s="312" t="str">
        <f t="shared" si="222"/>
        <v>mid-size</v>
      </c>
      <c r="CQ69" s="313">
        <f t="shared" si="223"/>
        <v>4</v>
      </c>
      <c r="CR69" s="312" t="str">
        <f t="shared" si="224"/>
        <v>moderate</v>
      </c>
      <c r="CS69" s="313">
        <f t="shared" si="225"/>
        <v>3</v>
      </c>
      <c r="CT69" s="312" t="str">
        <f t="shared" si="226"/>
        <v>head</v>
      </c>
      <c r="CU69" s="313">
        <f t="shared" si="227"/>
        <v>2</v>
      </c>
      <c r="CV69" s="313">
        <f t="shared" si="228"/>
        <v>135</v>
      </c>
      <c r="CW69" s="313" t="str">
        <f t="shared" si="229"/>
        <v>intermediate complexity hydrodynamics</v>
      </c>
      <c r="CX69" s="313">
        <f t="shared" si="188"/>
        <v>101</v>
      </c>
      <c r="CY69" s="313" t="str">
        <f t="shared" si="230"/>
        <v>intermediate complexity water quality</v>
      </c>
      <c r="CZ69" s="273" t="s">
        <v>635</v>
      </c>
      <c r="DA69" s="272" t="str">
        <f t="shared" si="207"/>
        <v>-</v>
      </c>
      <c r="DB69" s="271" t="str">
        <f t="shared" ref="DB69:DB96" si="259">CONCATENATE(  CW69,  "; ", CY69,IF(DA69="WASP"," (WASP)",""))</f>
        <v>intermediate complexity hydrodynamics; intermediate complexity water quality</v>
      </c>
      <c r="DC69" s="274"/>
      <c r="DD69" s="475" t="str">
        <f t="shared" ref="DD69:DD96" si="260">B69</f>
        <v>Sherwood Millpond</v>
      </c>
      <c r="DE69" s="475">
        <f t="shared" ref="DE69:DE96" si="261">C69</f>
        <v>61</v>
      </c>
      <c r="DF69" s="475">
        <f t="shared" si="231"/>
        <v>14.72</v>
      </c>
      <c r="DG69" s="476">
        <f t="shared" si="232"/>
        <v>0.43</v>
      </c>
      <c r="DH69" s="475">
        <f t="shared" si="233"/>
        <v>3.13</v>
      </c>
      <c r="DI69" s="475">
        <f t="shared" si="234"/>
        <v>137.9</v>
      </c>
      <c r="DJ69" s="475">
        <f t="shared" si="235"/>
        <v>23</v>
      </c>
      <c r="DK69" s="475">
        <f t="shared" si="236"/>
        <v>0.8</v>
      </c>
      <c r="DL69" s="475">
        <f t="shared" si="237"/>
        <v>0.9</v>
      </c>
      <c r="DM69" s="475">
        <f t="shared" si="238"/>
        <v>1.9</v>
      </c>
      <c r="DN69" s="475">
        <f t="shared" si="239"/>
        <v>0</v>
      </c>
      <c r="DO69" s="475">
        <f t="shared" si="240"/>
        <v>43109</v>
      </c>
      <c r="DP69" s="475">
        <f t="shared" si="241"/>
        <v>952457</v>
      </c>
      <c r="DQ69" s="464">
        <f t="shared" si="242"/>
        <v>2.21</v>
      </c>
      <c r="DR69" s="464">
        <f t="shared" si="243"/>
        <v>1</v>
      </c>
      <c r="DS69" s="464">
        <f t="shared" si="244"/>
        <v>25756</v>
      </c>
      <c r="DT69" s="464">
        <f t="shared" si="245"/>
        <v>1.7</v>
      </c>
      <c r="DU69" s="464">
        <f t="shared" si="246"/>
        <v>0</v>
      </c>
      <c r="DV69" s="464">
        <f t="shared" si="247"/>
        <v>147.51</v>
      </c>
      <c r="DW69" s="464">
        <f t="shared" si="248"/>
        <v>0</v>
      </c>
      <c r="DX69" s="464">
        <f t="shared" si="249"/>
        <v>100</v>
      </c>
      <c r="DY69" s="464">
        <f t="shared" si="250"/>
        <v>71</v>
      </c>
      <c r="DZ69" s="464">
        <f t="shared" si="251"/>
        <v>53</v>
      </c>
      <c r="EA69" s="464">
        <f t="shared" si="252"/>
        <v>14644</v>
      </c>
      <c r="EB69" s="464">
        <f t="shared" si="253"/>
        <v>340</v>
      </c>
      <c r="EC69" s="464">
        <f t="shared" si="254"/>
        <v>0</v>
      </c>
      <c r="ED69" s="464">
        <f t="shared" si="255"/>
        <v>1.3520000000000001E-2</v>
      </c>
      <c r="EE69" s="464">
        <f t="shared" si="256"/>
        <v>5.12</v>
      </c>
      <c r="EF69" s="275">
        <f t="shared" ref="EF69:EF96" si="262">ROUND(AQ69,2)</f>
        <v>2.1</v>
      </c>
      <c r="EG69" s="275" t="str">
        <f t="shared" ref="EG69:EG96" si="263">AR69</f>
        <v>unlikely, too shallow</v>
      </c>
      <c r="EH69" s="275">
        <f t="shared" ref="EH69:EH96" si="264">ROUND(AJ69,2)</f>
        <v>2.83</v>
      </c>
      <c r="EI69" s="275">
        <f t="shared" ref="EI69:EI96" si="265">ROUND(AK69,2)</f>
        <v>1.17</v>
      </c>
      <c r="EJ69" s="275">
        <f t="shared" ref="EJ69:EJ96" si="266">ROUND(AL69,2)</f>
        <v>0.93</v>
      </c>
    </row>
    <row r="70" spans="1:140" s="275" customFormat="1" ht="44" customHeight="1" x14ac:dyDescent="0.35">
      <c r="A70" s="389">
        <v>62</v>
      </c>
      <c r="B70" s="281" t="s">
        <v>458</v>
      </c>
      <c r="C70" s="257">
        <v>62</v>
      </c>
      <c r="D70" s="256" t="s">
        <v>399</v>
      </c>
      <c r="E70" s="258"/>
      <c r="F70" s="259">
        <v>191668</v>
      </c>
      <c r="G70" s="259">
        <v>594.51729999999998</v>
      </c>
      <c r="H70" s="260">
        <f t="shared" ref="H70:H96" si="267">F70/G70</f>
        <v>322.39263685009672</v>
      </c>
      <c r="I70" s="260">
        <f t="shared" si="61"/>
        <v>1.8440784064073814</v>
      </c>
      <c r="J70" s="261">
        <v>0</v>
      </c>
      <c r="K70" s="262">
        <v>0.85003104326230805</v>
      </c>
      <c r="L70" s="262">
        <v>0.85</v>
      </c>
      <c r="M70" s="262">
        <v>1.4</v>
      </c>
      <c r="N70" s="260">
        <f t="shared" si="212"/>
        <v>19166.8</v>
      </c>
      <c r="O70" s="258"/>
      <c r="P70" s="260">
        <f t="shared" ref="P70:P95" si="268">24*3600*0.0208*(AT70/10^6)^0.99</f>
        <v>333.42109803472289</v>
      </c>
      <c r="Q70" s="453">
        <f>P70+P69</f>
        <v>26089.791705045456</v>
      </c>
      <c r="R70" s="263">
        <f t="shared" si="189"/>
        <v>2.2060000896399998</v>
      </c>
      <c r="S70" s="262">
        <v>1.1030000448199999</v>
      </c>
      <c r="T70" s="260">
        <f t="shared" si="190"/>
        <v>422819.62518111948</v>
      </c>
      <c r="U70" s="259">
        <v>0</v>
      </c>
      <c r="V70" s="264">
        <f t="shared" si="191"/>
        <v>0.55039858262003294</v>
      </c>
      <c r="W70" s="264">
        <f t="shared" si="192"/>
        <v>1.7185864346217645</v>
      </c>
      <c r="X70" s="260">
        <f t="shared" si="193"/>
        <v>845639.25036223896</v>
      </c>
      <c r="Y70" s="263">
        <f t="shared" si="194"/>
        <v>4.5330913842491792E-2</v>
      </c>
      <c r="Z70" s="264">
        <f t="shared" si="195"/>
        <v>0.73464749035514021</v>
      </c>
      <c r="AA70" s="264">
        <f t="shared" si="196"/>
        <v>3.085215320110745E-2</v>
      </c>
      <c r="AB70" s="266">
        <f t="shared" si="197"/>
        <v>4.728608553443657E-2</v>
      </c>
      <c r="AC70" s="266">
        <f t="shared" si="65"/>
        <v>5.1088909123247426</v>
      </c>
      <c r="AD70" s="266">
        <f t="shared" si="198"/>
        <v>22.060000896399998</v>
      </c>
      <c r="AE70" s="266">
        <f t="shared" si="199"/>
        <v>3.1923408520590349E-2</v>
      </c>
      <c r="AF70" s="258"/>
      <c r="AG70" s="267">
        <v>-73.344133999999997</v>
      </c>
      <c r="AH70" s="263">
        <f t="shared" si="215"/>
        <v>0.73842287428969144</v>
      </c>
      <c r="AI70" s="263">
        <f t="shared" si="66"/>
        <v>1.625085085770551</v>
      </c>
      <c r="AJ70" s="263">
        <f t="shared" si="67"/>
        <v>2.8338025044420991</v>
      </c>
      <c r="AK70" s="263">
        <f t="shared" si="68"/>
        <v>1.1673973267598736</v>
      </c>
      <c r="AL70" s="263">
        <f t="shared" ref="AL70:AL96" si="269">-LN(0.22)/AI70</f>
        <v>0.93172212697517687</v>
      </c>
      <c r="AM70" s="262">
        <v>1.1030000448199999</v>
      </c>
      <c r="AN70" s="261">
        <v>1.0000365214850699</v>
      </c>
      <c r="AO70" s="261">
        <v>0.70590813281298903</v>
      </c>
      <c r="AP70" s="261">
        <v>0.529431099609742</v>
      </c>
      <c r="AQ70" s="481">
        <f t="shared" si="257"/>
        <v>2.1030000448199999</v>
      </c>
      <c r="AR70" s="268" t="str">
        <f t="shared" si="187"/>
        <v>unlikely, too shallow</v>
      </c>
      <c r="AS70" s="258"/>
      <c r="AT70" s="259">
        <v>182400.6</v>
      </c>
      <c r="AU70" s="259">
        <v>0</v>
      </c>
      <c r="AV70" s="259">
        <v>0</v>
      </c>
      <c r="AW70" s="259">
        <v>135.05913642574632</v>
      </c>
      <c r="AX70" s="259">
        <v>38.548482767242781</v>
      </c>
      <c r="AY70" s="259">
        <v>36.176587509563873</v>
      </c>
      <c r="AZ70" s="259">
        <v>191.66800000000001</v>
      </c>
      <c r="BA70" s="269"/>
      <c r="BB70" s="259">
        <v>401.45220670255299</v>
      </c>
      <c r="BC70" s="260">
        <f t="shared" si="213"/>
        <v>401.45220670255299</v>
      </c>
      <c r="BD70" s="260">
        <f t="shared" si="200"/>
        <v>20.945186817964032</v>
      </c>
      <c r="BE70" s="453">
        <f>(BC70+BC69)</f>
        <v>15045.538726806815</v>
      </c>
      <c r="BF70" s="453">
        <f>(BC70+BC69)/SUM(F69:F70)*10000</f>
        <v>241.59410635551706</v>
      </c>
      <c r="BG70" s="280">
        <f>(AV70+AV69)/BE70*100</f>
        <v>0</v>
      </c>
      <c r="BH70" s="258"/>
      <c r="BI70" s="262">
        <f t="shared" si="258"/>
        <v>1.3821982499999999</v>
      </c>
      <c r="BJ70" s="259">
        <v>5528.7929999999997</v>
      </c>
      <c r="BK70" s="262">
        <v>0</v>
      </c>
      <c r="BL70" s="259">
        <f t="shared" si="82"/>
        <v>0</v>
      </c>
      <c r="BM70" s="259"/>
      <c r="BN70" s="258"/>
      <c r="BO70" s="260">
        <f t="shared" si="201"/>
        <v>19.166799999999999</v>
      </c>
      <c r="BP70" s="260">
        <f t="shared" si="202"/>
        <v>1.8440784064073814</v>
      </c>
      <c r="BQ70" s="263">
        <f t="shared" si="214"/>
        <v>1.4</v>
      </c>
      <c r="BR70" s="260">
        <f t="shared" si="203"/>
        <v>0</v>
      </c>
      <c r="BS70" s="265">
        <f t="shared" si="204"/>
        <v>3.085215320110745E-2</v>
      </c>
      <c r="BT70" s="263">
        <f t="shared" si="205"/>
        <v>5.1088909123247426</v>
      </c>
      <c r="BU70" s="260">
        <f t="shared" si="206"/>
        <v>0</v>
      </c>
      <c r="BV70" s="258"/>
      <c r="BW70" s="138"/>
      <c r="BX70" s="138"/>
      <c r="BY70" s="138"/>
      <c r="BZ70" s="138"/>
      <c r="CA70" s="138"/>
      <c r="CB70" s="138"/>
      <c r="CC70" s="138"/>
      <c r="CD70" s="138"/>
      <c r="CE70" s="138"/>
      <c r="CF70" s="138"/>
      <c r="CG70" s="138"/>
      <c r="CH70" s="138"/>
      <c r="CI70" s="258"/>
      <c r="CJ70" s="312" t="str">
        <f t="shared" si="216"/>
        <v>intermediate complexity hydrodynamics</v>
      </c>
      <c r="CK70" s="313">
        <f t="shared" si="217"/>
        <v>2</v>
      </c>
      <c r="CL70" s="312" t="str">
        <f t="shared" si="218"/>
        <v>complex water quality</v>
      </c>
      <c r="CM70" s="313">
        <f t="shared" si="219"/>
        <v>4</v>
      </c>
      <c r="CN70" s="312" t="str">
        <f t="shared" si="220"/>
        <v>shallow</v>
      </c>
      <c r="CO70" s="313">
        <f t="shared" si="221"/>
        <v>1</v>
      </c>
      <c r="CP70" s="312" t="str">
        <f t="shared" si="222"/>
        <v>very small</v>
      </c>
      <c r="CQ70" s="313">
        <f t="shared" si="223"/>
        <v>2</v>
      </c>
      <c r="CR70" s="312" t="str">
        <f t="shared" si="224"/>
        <v>very low</v>
      </c>
      <c r="CS70" s="313">
        <f t="shared" si="225"/>
        <v>1</v>
      </c>
      <c r="CT70" s="312" t="str">
        <f t="shared" si="226"/>
        <v>none</v>
      </c>
      <c r="CU70" s="313">
        <f t="shared" si="227"/>
        <v>1</v>
      </c>
      <c r="CV70" s="313">
        <f>CK70*$CA$5+CM70*$CF$5+CU70*$CG$10+CQ70*$CA$10+CS70*$CD$10+CO70*$BX$10</f>
        <v>112</v>
      </c>
      <c r="CW70" s="313" t="str">
        <f t="shared" si="229"/>
        <v>intermediate complexity hydrodynamics</v>
      </c>
      <c r="CX70" s="313">
        <f>CK70*$CA$7+CM70*$CF$7+CU70*$CG$11+CQ70*$CA$11+CS70*$CD$11+CO70*$BX$11</f>
        <v>90</v>
      </c>
      <c r="CY70" s="313" t="str">
        <f t="shared" si="230"/>
        <v>intermediate complexity water quality</v>
      </c>
      <c r="CZ70" s="273" t="s">
        <v>634</v>
      </c>
      <c r="DA70" s="272" t="str">
        <f t="shared" si="207"/>
        <v>-</v>
      </c>
      <c r="DB70" s="271" t="str">
        <f t="shared" si="259"/>
        <v>intermediate complexity hydrodynamics; intermediate complexity water quality</v>
      </c>
      <c r="DC70" s="274"/>
      <c r="DD70" s="475" t="str">
        <f t="shared" si="260"/>
        <v>Compo Cove</v>
      </c>
      <c r="DE70" s="475">
        <f t="shared" si="261"/>
        <v>62</v>
      </c>
      <c r="DF70" s="475">
        <f t="shared" si="231"/>
        <v>0.18</v>
      </c>
      <c r="DG70" s="476">
        <f t="shared" si="232"/>
        <v>0.19</v>
      </c>
      <c r="DH70" s="475">
        <f t="shared" si="233"/>
        <v>0.59</v>
      </c>
      <c r="DI70" s="475">
        <f t="shared" si="234"/>
        <v>322.39999999999998</v>
      </c>
      <c r="DJ70" s="475">
        <f t="shared" si="235"/>
        <v>2</v>
      </c>
      <c r="DK70" s="475">
        <f t="shared" si="236"/>
        <v>0.9</v>
      </c>
      <c r="DL70" s="475">
        <f t="shared" si="237"/>
        <v>0.9</v>
      </c>
      <c r="DM70" s="475">
        <f t="shared" si="238"/>
        <v>1.4</v>
      </c>
      <c r="DN70" s="475">
        <f t="shared" si="239"/>
        <v>0</v>
      </c>
      <c r="DO70" s="475">
        <f t="shared" si="240"/>
        <v>19167</v>
      </c>
      <c r="DP70" s="475">
        <f t="shared" si="241"/>
        <v>422820</v>
      </c>
      <c r="DQ70" s="464">
        <f t="shared" si="242"/>
        <v>2.21</v>
      </c>
      <c r="DR70" s="464">
        <f t="shared" si="243"/>
        <v>0</v>
      </c>
      <c r="DS70" s="464">
        <f t="shared" si="244"/>
        <v>26090</v>
      </c>
      <c r="DT70" s="464">
        <f t="shared" si="245"/>
        <v>0.7</v>
      </c>
      <c r="DU70" s="464">
        <f t="shared" si="246"/>
        <v>0</v>
      </c>
      <c r="DV70" s="464">
        <f t="shared" si="247"/>
        <v>1.38</v>
      </c>
      <c r="DW70" s="464">
        <f t="shared" si="248"/>
        <v>0</v>
      </c>
      <c r="DX70" s="464">
        <f t="shared" si="249"/>
        <v>100</v>
      </c>
      <c r="DY70" s="464">
        <f t="shared" si="250"/>
        <v>71</v>
      </c>
      <c r="DZ70" s="464">
        <f t="shared" si="251"/>
        <v>53</v>
      </c>
      <c r="EA70" s="464">
        <f t="shared" si="252"/>
        <v>15046</v>
      </c>
      <c r="EB70" s="464">
        <f t="shared" si="253"/>
        <v>242</v>
      </c>
      <c r="EC70" s="464">
        <f t="shared" si="254"/>
        <v>0</v>
      </c>
      <c r="ED70" s="464">
        <f t="shared" si="255"/>
        <v>3.0849999999999999E-2</v>
      </c>
      <c r="EE70" s="464">
        <f t="shared" si="256"/>
        <v>5.1100000000000003</v>
      </c>
      <c r="EF70" s="275">
        <f t="shared" si="262"/>
        <v>2.1</v>
      </c>
      <c r="EG70" s="275" t="str">
        <f t="shared" si="263"/>
        <v>unlikely, too shallow</v>
      </c>
      <c r="EH70" s="275">
        <f t="shared" si="264"/>
        <v>2.83</v>
      </c>
      <c r="EI70" s="275">
        <f t="shared" si="265"/>
        <v>1.17</v>
      </c>
      <c r="EJ70" s="275">
        <f t="shared" si="266"/>
        <v>0.93</v>
      </c>
    </row>
    <row r="71" spans="1:140" ht="44" customHeight="1" x14ac:dyDescent="0.35">
      <c r="A71" s="388">
        <v>62.5</v>
      </c>
      <c r="B71" s="215" t="s">
        <v>477</v>
      </c>
      <c r="C71" s="210" t="s">
        <v>483</v>
      </c>
      <c r="D71" s="196"/>
      <c r="E71" s="221"/>
      <c r="F71" s="197">
        <f>F69+F70</f>
        <v>622761</v>
      </c>
      <c r="G71" s="197">
        <f>G69+G70</f>
        <v>3719.8433</v>
      </c>
      <c r="H71" s="241">
        <f t="shared" si="267"/>
        <v>167.41592313848275</v>
      </c>
      <c r="I71" s="241">
        <f>G71/H71</f>
        <v>22.219172646576919</v>
      </c>
      <c r="J71" s="452">
        <f>SUM(J69*($F69/$F71),J70*($F70/$F71))</f>
        <v>0</v>
      </c>
      <c r="K71" s="242">
        <f>SUM(K69*($F69/$F71),K70*($F70/$F71))</f>
        <v>0.85000000000000031</v>
      </c>
      <c r="L71" s="242">
        <f>SUM(L69*($F69/$F71),L70*($F70/$F71))</f>
        <v>0.85000000000000009</v>
      </c>
      <c r="M71" s="242">
        <f>MAX(M68:M70)</f>
        <v>1.90469996929</v>
      </c>
      <c r="N71" s="241">
        <f>N70+N69</f>
        <v>62276.100000000006</v>
      </c>
      <c r="O71" s="221"/>
      <c r="P71" s="241"/>
      <c r="Q71" s="457">
        <f>Q70</f>
        <v>26089.791705045456</v>
      </c>
      <c r="R71" s="242">
        <f t="shared" si="189"/>
        <v>2.2060000896399998</v>
      </c>
      <c r="S71" s="213">
        <f>S70</f>
        <v>1.1030000448199999</v>
      </c>
      <c r="T71" s="241">
        <f t="shared" si="190"/>
        <v>1373810.8218242959</v>
      </c>
      <c r="U71" s="197">
        <v>2</v>
      </c>
      <c r="V71" s="243">
        <f t="shared" si="191"/>
        <v>2.8443487802368366</v>
      </c>
      <c r="W71" s="243">
        <f t="shared" si="192"/>
        <v>8.9675485180920358</v>
      </c>
      <c r="X71" s="241">
        <f t="shared" si="193"/>
        <v>2747621.6436485918</v>
      </c>
      <c r="Y71" s="242">
        <f t="shared" si="194"/>
        <v>4.5330913842491799E-2</v>
      </c>
      <c r="Z71" s="243">
        <f t="shared" si="195"/>
        <v>2.3869910769719387</v>
      </c>
      <c r="AA71" s="243">
        <f t="shared" si="196"/>
        <v>9.4954091533507451E-3</v>
      </c>
      <c r="AB71" s="245">
        <f t="shared" si="197"/>
        <v>1.4861190504768784E-2</v>
      </c>
      <c r="AC71" s="245">
        <f t="shared" si="65"/>
        <v>5.2169738957569685</v>
      </c>
      <c r="AD71" s="245">
        <f t="shared" si="198"/>
        <v>22.060000896399995</v>
      </c>
      <c r="AE71" s="245">
        <f t="shared" si="199"/>
        <v>9.8251108600643112E-3</v>
      </c>
      <c r="AF71" s="221"/>
      <c r="AG71" s="211">
        <f>AG70</f>
        <v>-73.344133999999997</v>
      </c>
      <c r="AH71" s="242">
        <f>AH70</f>
        <v>0.73842287428969144</v>
      </c>
      <c r="AI71" s="242">
        <f>1.2/AH71</f>
        <v>1.625085085770551</v>
      </c>
      <c r="AJ71" s="242">
        <f t="shared" si="67"/>
        <v>2.8338025044420991</v>
      </c>
      <c r="AK71" s="242">
        <f t="shared" si="68"/>
        <v>1.1673973267598736</v>
      </c>
      <c r="AL71" s="242">
        <f t="shared" si="269"/>
        <v>0.93172212697517687</v>
      </c>
      <c r="AM71" s="242">
        <f>SUM(AM69*($F69/$F71),AM70*($F70/$F71))</f>
        <v>1.1041767812237659</v>
      </c>
      <c r="AN71" s="452">
        <f>SUM(AN69*($F69/$F71),AN70*($F70/$F71))</f>
        <v>1.0000000000000004</v>
      </c>
      <c r="AO71" s="452">
        <f>SUM(AO69*($F69/$F71),AO70*($F70/$F71))</f>
        <v>0.70588235294117629</v>
      </c>
      <c r="AP71" s="452">
        <f>SUM(AP69*($F69/$F71),AP70*($F70/$F71))</f>
        <v>0.52941176470588258</v>
      </c>
      <c r="AQ71" s="483">
        <f t="shared" si="257"/>
        <v>2.1030000448199999</v>
      </c>
      <c r="AR71" s="247" t="str">
        <f t="shared" si="187"/>
        <v>unlikely, too shallow</v>
      </c>
      <c r="AS71" s="221"/>
      <c r="AT71" s="241">
        <f>AT70+AT69</f>
        <v>14905100.6</v>
      </c>
      <c r="AU71" s="241">
        <f t="shared" ref="AU71:AZ71" si="270">AU70+AU69</f>
        <v>0</v>
      </c>
      <c r="AV71" s="241">
        <f t="shared" si="270"/>
        <v>0</v>
      </c>
      <c r="AW71" s="241">
        <f>AW70+AW69</f>
        <v>6927.7899701802826</v>
      </c>
      <c r="AX71" s="241">
        <f t="shared" si="270"/>
        <v>5254.3400803842542</v>
      </c>
      <c r="AY71" s="241">
        <f t="shared" si="270"/>
        <v>2240.6476762422767</v>
      </c>
      <c r="AZ71" s="241">
        <f t="shared" si="270"/>
        <v>622.76099999999997</v>
      </c>
      <c r="BA71" s="214"/>
      <c r="BB71" s="241">
        <f>BB70+BB69</f>
        <v>15045.538726806815</v>
      </c>
      <c r="BC71" s="241">
        <f>BC70+BC69</f>
        <v>15045.538726806815</v>
      </c>
      <c r="BD71" s="241">
        <f t="shared" si="200"/>
        <v>241.59410635551706</v>
      </c>
      <c r="BE71" s="457">
        <f>BC71</f>
        <v>15045.538726806815</v>
      </c>
      <c r="BF71" s="457">
        <f>BD71</f>
        <v>241.59410635551706</v>
      </c>
      <c r="BG71" s="248">
        <f>AV71/BE71*100</f>
        <v>0</v>
      </c>
      <c r="BH71" s="221"/>
      <c r="BI71" s="242">
        <f t="shared" si="258"/>
        <v>148.89487324999999</v>
      </c>
      <c r="BJ71" s="241">
        <f>BJ70+BJ69</f>
        <v>595579.4929999999</v>
      </c>
      <c r="BK71" s="242">
        <f>BK70+BK69</f>
        <v>0</v>
      </c>
      <c r="BL71" s="241">
        <f>BL70+BL69</f>
        <v>0</v>
      </c>
      <c r="BM71" s="197"/>
      <c r="BN71" s="221"/>
      <c r="BO71" s="241">
        <f t="shared" si="201"/>
        <v>62.2761</v>
      </c>
      <c r="BP71" s="241">
        <f t="shared" si="202"/>
        <v>22.219172646576919</v>
      </c>
      <c r="BQ71" s="242">
        <f t="shared" si="214"/>
        <v>1.90469996929</v>
      </c>
      <c r="BR71" s="241">
        <f t="shared" si="203"/>
        <v>2</v>
      </c>
      <c r="BS71" s="244">
        <f t="shared" si="204"/>
        <v>9.4954091533507451E-3</v>
      </c>
      <c r="BT71" s="242">
        <f t="shared" si="205"/>
        <v>5.2169738957569685</v>
      </c>
      <c r="BU71" s="241">
        <f t="shared" si="206"/>
        <v>0</v>
      </c>
      <c r="BV71" s="221"/>
      <c r="CI71" s="221"/>
      <c r="CJ71" s="303" t="str">
        <f t="shared" si="216"/>
        <v>intermediate complexity hydrodynamics</v>
      </c>
      <c r="CK71" s="304">
        <f t="shared" si="217"/>
        <v>2</v>
      </c>
      <c r="CL71" s="303" t="str">
        <f t="shared" si="218"/>
        <v>complex water quality</v>
      </c>
      <c r="CM71" s="304">
        <f t="shared" si="219"/>
        <v>4</v>
      </c>
      <c r="CN71" s="303" t="str">
        <f t="shared" si="220"/>
        <v>shallow</v>
      </c>
      <c r="CO71" s="304">
        <f t="shared" si="221"/>
        <v>1</v>
      </c>
      <c r="CP71" s="303" t="str">
        <f t="shared" si="222"/>
        <v>mid-size</v>
      </c>
      <c r="CQ71" s="304">
        <f t="shared" si="223"/>
        <v>4</v>
      </c>
      <c r="CR71" s="303" t="str">
        <f t="shared" si="224"/>
        <v>moderate</v>
      </c>
      <c r="CS71" s="304">
        <f t="shared" si="225"/>
        <v>3</v>
      </c>
      <c r="CT71" s="303" t="str">
        <f t="shared" si="226"/>
        <v>mid-estuary</v>
      </c>
      <c r="CU71" s="304">
        <f t="shared" si="227"/>
        <v>3</v>
      </c>
      <c r="CV71" s="304">
        <f t="shared" si="228"/>
        <v>136</v>
      </c>
      <c r="CW71" s="304" t="str">
        <f t="shared" si="229"/>
        <v>intermediate complexity hydrodynamics</v>
      </c>
      <c r="CX71" s="304">
        <f t="shared" ref="CX71:CX96" si="271">CK71*$CA$7+CM71*$CF$7+CU71*$CG$11+CQ71*$CA$11+CS71*$CD$11+CO71*$BX$11</f>
        <v>102</v>
      </c>
      <c r="CY71" s="304" t="str">
        <f t="shared" si="230"/>
        <v>intermediate complexity water quality</v>
      </c>
      <c r="CZ71" s="216" t="s">
        <v>636</v>
      </c>
      <c r="DA71" s="252" t="str">
        <f t="shared" si="207"/>
        <v>-</v>
      </c>
      <c r="DB71" s="251" t="str">
        <f t="shared" si="259"/>
        <v>intermediate complexity hydrodynamics; intermediate complexity water quality</v>
      </c>
      <c r="DC71" s="227"/>
      <c r="DD71" s="475" t="str">
        <f t="shared" si="260"/>
        <v>Sherwood Millpond + Compo Cove</v>
      </c>
      <c r="DE71" s="475" t="str">
        <f t="shared" si="261"/>
        <v>61-62</v>
      </c>
      <c r="DF71" s="477">
        <f t="shared" si="231"/>
        <v>14.91</v>
      </c>
      <c r="DG71" s="478">
        <f t="shared" si="232"/>
        <v>0.62</v>
      </c>
      <c r="DH71" s="477">
        <f t="shared" si="233"/>
        <v>3.72</v>
      </c>
      <c r="DI71" s="477">
        <f t="shared" si="234"/>
        <v>167.4</v>
      </c>
      <c r="DJ71" s="477">
        <f t="shared" si="235"/>
        <v>22</v>
      </c>
      <c r="DK71" s="477">
        <f t="shared" si="236"/>
        <v>0.9</v>
      </c>
      <c r="DL71" s="477">
        <f t="shared" si="237"/>
        <v>0.9</v>
      </c>
      <c r="DM71" s="477">
        <f t="shared" si="238"/>
        <v>1.9</v>
      </c>
      <c r="DN71" s="477">
        <f t="shared" si="239"/>
        <v>0</v>
      </c>
      <c r="DO71" s="477">
        <f t="shared" si="240"/>
        <v>62276</v>
      </c>
      <c r="DP71" s="477">
        <f t="shared" si="241"/>
        <v>1373811</v>
      </c>
      <c r="DQ71" s="467">
        <f t="shared" si="242"/>
        <v>2.21</v>
      </c>
      <c r="DR71" s="467">
        <f t="shared" si="243"/>
        <v>2</v>
      </c>
      <c r="DS71" s="467">
        <f t="shared" si="244"/>
        <v>26090</v>
      </c>
      <c r="DT71" s="467">
        <f t="shared" si="245"/>
        <v>2.4</v>
      </c>
      <c r="DU71" s="467">
        <f t="shared" si="246"/>
        <v>0</v>
      </c>
      <c r="DV71" s="467">
        <f t="shared" si="247"/>
        <v>148.88999999999999</v>
      </c>
      <c r="DW71" s="467">
        <f t="shared" si="248"/>
        <v>0</v>
      </c>
      <c r="DX71" s="467">
        <f t="shared" si="249"/>
        <v>100</v>
      </c>
      <c r="DY71" s="467">
        <f t="shared" si="250"/>
        <v>71</v>
      </c>
      <c r="DZ71" s="467">
        <f t="shared" si="251"/>
        <v>53</v>
      </c>
      <c r="EA71" s="467">
        <f t="shared" si="252"/>
        <v>15046</v>
      </c>
      <c r="EB71" s="467">
        <f t="shared" si="253"/>
        <v>242</v>
      </c>
      <c r="EC71" s="467">
        <f t="shared" si="254"/>
        <v>0</v>
      </c>
      <c r="ED71" s="467">
        <f t="shared" si="255"/>
        <v>9.4999999999999998E-3</v>
      </c>
      <c r="EE71" s="467">
        <f t="shared" si="256"/>
        <v>5.22</v>
      </c>
      <c r="EF71" s="138">
        <f t="shared" si="262"/>
        <v>2.1</v>
      </c>
      <c r="EG71" s="138" t="str">
        <f t="shared" si="263"/>
        <v>unlikely, too shallow</v>
      </c>
      <c r="EH71" s="138">
        <f t="shared" si="264"/>
        <v>2.83</v>
      </c>
      <c r="EI71" s="138">
        <f t="shared" si="265"/>
        <v>1.17</v>
      </c>
      <c r="EJ71" s="138">
        <f t="shared" si="266"/>
        <v>0.93</v>
      </c>
    </row>
    <row r="72" spans="1:140" s="295" customFormat="1" ht="44" hidden="1" customHeight="1" x14ac:dyDescent="0.35">
      <c r="A72" s="390">
        <v>63</v>
      </c>
      <c r="B72" s="249" t="s">
        <v>513</v>
      </c>
      <c r="C72" s="282">
        <v>63</v>
      </c>
      <c r="D72" s="250" t="s">
        <v>398</v>
      </c>
      <c r="E72" s="283"/>
      <c r="F72" s="285">
        <v>2497672</v>
      </c>
      <c r="G72" s="285">
        <v>11543.81</v>
      </c>
      <c r="H72" s="285">
        <f t="shared" si="267"/>
        <v>216.36461445571263</v>
      </c>
      <c r="I72" s="285">
        <f t="shared" si="61"/>
        <v>53.353502507975428</v>
      </c>
      <c r="J72" s="286">
        <v>0</v>
      </c>
      <c r="K72" s="284">
        <v>0.85000068063380596</v>
      </c>
      <c r="L72" s="284">
        <v>0.85</v>
      </c>
      <c r="M72" s="284">
        <v>1.9107000112500001</v>
      </c>
      <c r="N72" s="285">
        <f t="shared" ref="N72:N80" si="272">F72*MAX(0.1,(K72-S72))</f>
        <v>249767.2</v>
      </c>
      <c r="O72" s="283"/>
      <c r="P72" s="285">
        <f t="shared" si="268"/>
        <v>344919.39897697169</v>
      </c>
      <c r="Q72" s="285">
        <f>P72</f>
        <v>344919.39897697169</v>
      </c>
      <c r="R72" s="284">
        <f t="shared" si="189"/>
        <v>2.2214000225000001</v>
      </c>
      <c r="S72" s="284">
        <v>1.1107000112500001</v>
      </c>
      <c r="T72" s="285">
        <f t="shared" si="190"/>
        <v>5548328.6369976206</v>
      </c>
      <c r="U72" s="285">
        <v>0</v>
      </c>
      <c r="V72" s="287">
        <f t="shared" si="191"/>
        <v>4.7101906388103751</v>
      </c>
      <c r="W72" s="287">
        <f t="shared" si="192"/>
        <v>15.593517071189586</v>
      </c>
      <c r="X72" s="285">
        <f t="shared" si="193"/>
        <v>11096657.273995241</v>
      </c>
      <c r="Y72" s="284">
        <f t="shared" si="194"/>
        <v>4.5016655706817878E-2</v>
      </c>
      <c r="Z72" s="287">
        <f t="shared" si="195"/>
        <v>0.72413207474212127</v>
      </c>
      <c r="AA72" s="287">
        <f t="shared" si="196"/>
        <v>3.1083180318210089E-2</v>
      </c>
      <c r="AB72" s="289">
        <f t="shared" si="197"/>
        <v>1.6353568646067278E-2</v>
      </c>
      <c r="AC72" s="289">
        <f t="shared" si="65"/>
        <v>1.7537425362795043</v>
      </c>
      <c r="AD72" s="289">
        <f t="shared" si="198"/>
        <v>22.214000225000003</v>
      </c>
      <c r="AE72" s="289">
        <f t="shared" si="199"/>
        <v>3.2162457412592382E-2</v>
      </c>
      <c r="AF72" s="283"/>
      <c r="AG72" s="283">
        <v>-73.361411000000004</v>
      </c>
      <c r="AH72" s="284">
        <f t="shared" si="215"/>
        <v>0.73166126369302731</v>
      </c>
      <c r="AI72" s="284">
        <f t="shared" si="66"/>
        <v>1.640103227473126</v>
      </c>
      <c r="AJ72" s="284">
        <f t="shared" si="67"/>
        <v>2.8078538648345837</v>
      </c>
      <c r="AK72" s="284">
        <f t="shared" si="68"/>
        <v>1.1567076712657507</v>
      </c>
      <c r="AL72" s="284">
        <f t="shared" si="269"/>
        <v>0.92319050854046647</v>
      </c>
      <c r="AM72" s="284">
        <v>1.1107000112500001</v>
      </c>
      <c r="AN72" s="286">
        <v>1.00000080074565</v>
      </c>
      <c r="AO72" s="286">
        <v>0.70588291817340298</v>
      </c>
      <c r="AP72" s="286">
        <v>0.52941218863005202</v>
      </c>
      <c r="AQ72" s="485">
        <f t="shared" si="257"/>
        <v>2.1107000112500001</v>
      </c>
      <c r="AR72" s="290" t="str">
        <f t="shared" ref="AR72:AR96" si="273">IF(BL72=0,IF(M72&lt;S72+1,"unlikely, too shallow",IF(AK72&gt;S72+1,IF(AO72&gt;0,(IF(AL72&gt;S72+1,"possible now","marginally possible now")),"possible if water clarity improves"),"possible if water clarity improves")),IF(LEFT(BM72,1)="y","currently present, field verified",IF(LEFT(BM72,1)="n","mapped as present but not field verified",IF(LEFT(BM72,1)="a","not mapped in 2017, but field verified by another source","mapped as present but only partially field verified"))))</f>
        <v>unlikely, too shallow</v>
      </c>
      <c r="AS72" s="283"/>
      <c r="AT72" s="285">
        <v>202396300</v>
      </c>
      <c r="AU72" s="285">
        <v>0</v>
      </c>
      <c r="AV72" s="285">
        <v>0</v>
      </c>
      <c r="AW72" s="285">
        <v>30224.035587699036</v>
      </c>
      <c r="AX72" s="285">
        <v>21078.378681773196</v>
      </c>
      <c r="AY72" s="285">
        <v>14495.286212880779</v>
      </c>
      <c r="AZ72" s="285">
        <v>2497.672</v>
      </c>
      <c r="BA72" s="291"/>
      <c r="BB72" s="285">
        <v>68295.372482353006</v>
      </c>
      <c r="BC72" s="285">
        <f t="shared" ref="BC72:BC80" si="274">BB72-AU72+AV72</f>
        <v>68295.372482353006</v>
      </c>
      <c r="BD72" s="285">
        <f t="shared" si="200"/>
        <v>273.43611363843212</v>
      </c>
      <c r="BE72" s="285">
        <f>BC72</f>
        <v>68295.372482353006</v>
      </c>
      <c r="BF72" s="285">
        <f t="shared" si="86"/>
        <v>273.43611363843212</v>
      </c>
      <c r="BG72" s="292">
        <f>AV72/BE72*100</f>
        <v>0</v>
      </c>
      <c r="BH72" s="283"/>
      <c r="BI72" s="284">
        <f t="shared" si="258"/>
        <v>0</v>
      </c>
      <c r="BJ72" s="285">
        <v>0</v>
      </c>
      <c r="BK72" s="284">
        <v>0</v>
      </c>
      <c r="BL72" s="285">
        <f t="shared" si="82"/>
        <v>0</v>
      </c>
      <c r="BM72" s="285"/>
      <c r="BN72" s="283"/>
      <c r="BO72" s="285">
        <f t="shared" si="201"/>
        <v>249.7672</v>
      </c>
      <c r="BP72" s="285">
        <f t="shared" si="202"/>
        <v>53.353502507975428</v>
      </c>
      <c r="BQ72" s="284">
        <f t="shared" si="214"/>
        <v>1.9107000112500001</v>
      </c>
      <c r="BR72" s="285">
        <f t="shared" si="203"/>
        <v>0</v>
      </c>
      <c r="BS72" s="288">
        <f t="shared" si="204"/>
        <v>3.1083180318210089E-2</v>
      </c>
      <c r="BT72" s="284">
        <f t="shared" si="205"/>
        <v>1.7537425362795043</v>
      </c>
      <c r="BU72" s="285">
        <f t="shared" si="206"/>
        <v>0</v>
      </c>
      <c r="BV72" s="283"/>
      <c r="BW72" s="138"/>
      <c r="BX72" s="138"/>
      <c r="BY72" s="138"/>
      <c r="BZ72" s="138"/>
      <c r="CA72" s="138"/>
      <c r="CB72" s="138"/>
      <c r="CC72" s="138"/>
      <c r="CD72" s="138"/>
      <c r="CE72" s="138"/>
      <c r="CF72" s="138"/>
      <c r="CG72" s="138"/>
      <c r="CH72" s="138"/>
      <c r="CI72" s="283"/>
      <c r="CJ72" s="303" t="str">
        <f t="shared" si="216"/>
        <v>intermediate complexity hydrodynamics</v>
      </c>
      <c r="CK72" s="304">
        <f t="shared" si="217"/>
        <v>2</v>
      </c>
      <c r="CL72" s="303" t="str">
        <f t="shared" si="218"/>
        <v>intermediate complexity water quality</v>
      </c>
      <c r="CM72" s="304">
        <f t="shared" si="219"/>
        <v>2</v>
      </c>
      <c r="CN72" s="303" t="str">
        <f t="shared" si="220"/>
        <v>shallow</v>
      </c>
      <c r="CO72" s="304">
        <f t="shared" si="221"/>
        <v>1</v>
      </c>
      <c r="CP72" s="303" t="str">
        <f t="shared" si="222"/>
        <v>mid-size</v>
      </c>
      <c r="CQ72" s="304">
        <f t="shared" si="223"/>
        <v>4</v>
      </c>
      <c r="CR72" s="303" t="str">
        <f t="shared" si="224"/>
        <v>high</v>
      </c>
      <c r="CS72" s="304">
        <f t="shared" si="225"/>
        <v>4</v>
      </c>
      <c r="CT72" s="303" t="str">
        <f t="shared" si="226"/>
        <v>none</v>
      </c>
      <c r="CU72" s="304">
        <f t="shared" si="227"/>
        <v>1</v>
      </c>
      <c r="CV72" s="304">
        <f t="shared" si="228"/>
        <v>115</v>
      </c>
      <c r="CW72" s="304" t="str">
        <f t="shared" si="229"/>
        <v>intermediate complexity hydrodynamics</v>
      </c>
      <c r="CX72" s="304">
        <f t="shared" si="271"/>
        <v>71</v>
      </c>
      <c r="CY72" s="304" t="str">
        <f t="shared" si="230"/>
        <v>intermediate complexity water quality</v>
      </c>
      <c r="CZ72" s="349"/>
      <c r="DA72" s="250"/>
      <c r="DB72" s="249" t="str">
        <f t="shared" si="259"/>
        <v>intermediate complexity hydrodynamics; intermediate complexity water quality</v>
      </c>
      <c r="DC72" s="294"/>
      <c r="DD72" s="475" t="str">
        <f t="shared" si="260"/>
        <v>Saugatuck River, North (fresh water)</v>
      </c>
      <c r="DE72" s="475">
        <f t="shared" si="261"/>
        <v>63</v>
      </c>
      <c r="DF72" s="468">
        <f t="shared" si="231"/>
        <v>202.4</v>
      </c>
      <c r="DG72" s="480">
        <f t="shared" si="232"/>
        <v>2.5</v>
      </c>
      <c r="DH72" s="468">
        <f t="shared" si="233"/>
        <v>11.54</v>
      </c>
      <c r="DI72" s="468">
        <f t="shared" si="234"/>
        <v>216.4</v>
      </c>
      <c r="DJ72" s="468">
        <f t="shared" si="235"/>
        <v>53</v>
      </c>
      <c r="DK72" s="468">
        <f t="shared" si="236"/>
        <v>0.9</v>
      </c>
      <c r="DL72" s="468">
        <f t="shared" si="237"/>
        <v>0.9</v>
      </c>
      <c r="DM72" s="468">
        <f t="shared" si="238"/>
        <v>1.9</v>
      </c>
      <c r="DN72" s="468">
        <f t="shared" si="239"/>
        <v>0</v>
      </c>
      <c r="DO72" s="468">
        <f t="shared" si="240"/>
        <v>249767</v>
      </c>
      <c r="DP72" s="468">
        <f t="shared" si="241"/>
        <v>5548329</v>
      </c>
      <c r="DQ72" s="467">
        <f t="shared" si="242"/>
        <v>2.2200000000000002</v>
      </c>
      <c r="DR72" s="468">
        <f t="shared" si="243"/>
        <v>0</v>
      </c>
      <c r="DS72" s="468">
        <f t="shared" si="244"/>
        <v>344919</v>
      </c>
      <c r="DT72" s="468">
        <f t="shared" si="245"/>
        <v>0.7</v>
      </c>
      <c r="DU72" s="468">
        <f t="shared" si="246"/>
        <v>0</v>
      </c>
      <c r="DV72" s="468">
        <f t="shared" si="247"/>
        <v>0</v>
      </c>
      <c r="DW72" s="468">
        <f t="shared" si="248"/>
        <v>0</v>
      </c>
      <c r="DX72" s="468">
        <f t="shared" si="249"/>
        <v>100</v>
      </c>
      <c r="DY72" s="468">
        <f t="shared" si="250"/>
        <v>71</v>
      </c>
      <c r="DZ72" s="468">
        <f t="shared" si="251"/>
        <v>53</v>
      </c>
      <c r="EA72" s="468">
        <f t="shared" si="252"/>
        <v>68295</v>
      </c>
      <c r="EB72" s="468">
        <f t="shared" si="253"/>
        <v>273</v>
      </c>
      <c r="EC72" s="468">
        <f t="shared" si="254"/>
        <v>0</v>
      </c>
      <c r="ED72" s="468">
        <f t="shared" si="255"/>
        <v>3.108E-2</v>
      </c>
      <c r="EE72" s="468">
        <f t="shared" si="256"/>
        <v>1.75</v>
      </c>
      <c r="EF72" s="295">
        <f t="shared" si="262"/>
        <v>2.11</v>
      </c>
      <c r="EG72" s="295" t="str">
        <f t="shared" si="263"/>
        <v>unlikely, too shallow</v>
      </c>
      <c r="EH72" s="295">
        <f t="shared" si="264"/>
        <v>2.81</v>
      </c>
      <c r="EI72" s="295">
        <f t="shared" si="265"/>
        <v>1.1599999999999999</v>
      </c>
      <c r="EJ72" s="295">
        <f t="shared" si="266"/>
        <v>0.92</v>
      </c>
    </row>
    <row r="73" spans="1:140" ht="44" customHeight="1" x14ac:dyDescent="0.35">
      <c r="A73" s="388">
        <v>64</v>
      </c>
      <c r="B73" s="215" t="s">
        <v>235</v>
      </c>
      <c r="C73" s="210">
        <v>64</v>
      </c>
      <c r="D73" s="196" t="s">
        <v>399</v>
      </c>
      <c r="E73" s="221"/>
      <c r="F73" s="197">
        <v>2497672</v>
      </c>
      <c r="G73" s="197">
        <v>6402.268</v>
      </c>
      <c r="H73" s="241">
        <f t="shared" si="267"/>
        <v>390.12300016181763</v>
      </c>
      <c r="I73" s="241">
        <f t="shared" si="61"/>
        <v>16.410896043925703</v>
      </c>
      <c r="J73" s="212">
        <v>1</v>
      </c>
      <c r="K73" s="213">
        <v>2.5197247706421999</v>
      </c>
      <c r="L73" s="213">
        <v>2.25</v>
      </c>
      <c r="M73" s="213">
        <v>9.92</v>
      </c>
      <c r="N73" s="241">
        <f t="shared" si="272"/>
        <v>3490808.2671042248</v>
      </c>
      <c r="O73" s="221"/>
      <c r="P73" s="241">
        <f>24*3600*0.0208*(AT73/10^6)^0.99</f>
        <v>384030.79241661233</v>
      </c>
      <c r="Q73" s="241">
        <f t="shared" ref="Q73:Q79" si="275">P73</f>
        <v>384030.79241661233</v>
      </c>
      <c r="R73" s="242">
        <f t="shared" si="189"/>
        <v>2.2441999912199999</v>
      </c>
      <c r="S73" s="213">
        <v>1.12209999561</v>
      </c>
      <c r="T73" s="241">
        <f t="shared" si="190"/>
        <v>5605275.4804704394</v>
      </c>
      <c r="U73" s="197">
        <v>0</v>
      </c>
      <c r="V73" s="243">
        <f t="shared" si="191"/>
        <v>4.25391018827814</v>
      </c>
      <c r="W73" s="243">
        <f t="shared" si="192"/>
        <v>13.535198720710866</v>
      </c>
      <c r="X73" s="241">
        <f t="shared" si="193"/>
        <v>11210550.960940879</v>
      </c>
      <c r="Y73" s="242">
        <f t="shared" si="194"/>
        <v>0.62277193677040266</v>
      </c>
      <c r="Z73" s="243">
        <f t="shared" si="195"/>
        <v>9.089917621286089</v>
      </c>
      <c r="AA73" s="243">
        <f t="shared" si="196"/>
        <v>3.4256192559547614E-2</v>
      </c>
      <c r="AB73" s="245">
        <f t="shared" si="197"/>
        <v>2.2972421654345477E-2</v>
      </c>
      <c r="AC73" s="245">
        <f t="shared" si="65"/>
        <v>2.2353546359452592</v>
      </c>
      <c r="AD73" s="245">
        <f t="shared" si="198"/>
        <v>1.6057242482470273</v>
      </c>
      <c r="AE73" s="245">
        <f t="shared" si="199"/>
        <v>3.5445643690087465E-2</v>
      </c>
      <c r="AF73" s="221"/>
      <c r="AG73" s="211">
        <v>-73.361411000000004</v>
      </c>
      <c r="AH73" s="242">
        <f t="shared" si="215"/>
        <v>0.73166126369302731</v>
      </c>
      <c r="AI73" s="242">
        <f t="shared" si="66"/>
        <v>1.640103227473126</v>
      </c>
      <c r="AJ73" s="242">
        <f t="shared" si="67"/>
        <v>2.8078538648345837</v>
      </c>
      <c r="AK73" s="242">
        <f t="shared" si="68"/>
        <v>1.1567076712657507</v>
      </c>
      <c r="AL73" s="242">
        <f t="shared" si="269"/>
        <v>0.92319050854046647</v>
      </c>
      <c r="AM73" s="213">
        <v>1.12209999561</v>
      </c>
      <c r="AN73" s="212">
        <v>0.68807339449541305</v>
      </c>
      <c r="AO73" s="212">
        <v>0</v>
      </c>
      <c r="AP73" s="212">
        <v>0</v>
      </c>
      <c r="AQ73" s="484">
        <f t="shared" si="257"/>
        <v>2.1220999956100002</v>
      </c>
      <c r="AR73" s="247" t="str">
        <f t="shared" si="273"/>
        <v>possible if water clarity improves</v>
      </c>
      <c r="AS73" s="221"/>
      <c r="AT73" s="197">
        <f>23194920+202396300</f>
        <v>225591220</v>
      </c>
      <c r="AU73" s="197">
        <v>4759.88105</v>
      </c>
      <c r="AV73" s="197">
        <v>5629.07672</v>
      </c>
      <c r="AW73" s="197">
        <v>12571.36189182634</v>
      </c>
      <c r="AX73" s="197">
        <v>4964.7546569349552</v>
      </c>
      <c r="AY73" s="197">
        <v>3261.5638934123135</v>
      </c>
      <c r="AZ73" s="197">
        <v>2497.672</v>
      </c>
      <c r="BA73" s="214"/>
      <c r="BB73" s="197">
        <v>28055.233492173611</v>
      </c>
      <c r="BC73" s="241">
        <f t="shared" si="274"/>
        <v>28924.429162173612</v>
      </c>
      <c r="BD73" s="241">
        <f t="shared" si="200"/>
        <v>115.8055547813068</v>
      </c>
      <c r="BE73" s="241">
        <f>(BC73+BC72)</f>
        <v>97219.801644526626</v>
      </c>
      <c r="BF73" s="241">
        <f>(BC73+BC72)/SUM(F72:F73)*10000</f>
        <v>194.62083420986949</v>
      </c>
      <c r="BG73" s="248">
        <f>(AV73+AV72)/BE73*100</f>
        <v>5.7900516404899616</v>
      </c>
      <c r="BH73" s="221"/>
      <c r="BI73" s="213">
        <f t="shared" si="258"/>
        <v>22.245605000000001</v>
      </c>
      <c r="BJ73" s="197">
        <v>88982.42</v>
      </c>
      <c r="BK73" s="213">
        <v>0</v>
      </c>
      <c r="BL73" s="197">
        <f t="shared" si="82"/>
        <v>0</v>
      </c>
      <c r="BM73" s="197"/>
      <c r="BN73" s="221"/>
      <c r="BO73" s="241">
        <f t="shared" si="201"/>
        <v>249.7672</v>
      </c>
      <c r="BP73" s="241">
        <f t="shared" si="202"/>
        <v>16.410896043925703</v>
      </c>
      <c r="BQ73" s="242">
        <f t="shared" si="214"/>
        <v>9.92</v>
      </c>
      <c r="BR73" s="241">
        <f t="shared" si="203"/>
        <v>0</v>
      </c>
      <c r="BS73" s="244">
        <f t="shared" si="204"/>
        <v>3.4256192559547614E-2</v>
      </c>
      <c r="BT73" s="242">
        <f t="shared" si="205"/>
        <v>2.2353546359452592</v>
      </c>
      <c r="BU73" s="241">
        <f t="shared" si="206"/>
        <v>5.7900516404899616</v>
      </c>
      <c r="BV73" s="221"/>
      <c r="CI73" s="221"/>
      <c r="CJ73" s="303" t="str">
        <f t="shared" si="216"/>
        <v>intermediate complexity hydrodynamics</v>
      </c>
      <c r="CK73" s="304">
        <f t="shared" si="217"/>
        <v>2</v>
      </c>
      <c r="CL73" s="303" t="str">
        <f t="shared" si="218"/>
        <v>intermediate complexity water quality</v>
      </c>
      <c r="CM73" s="304">
        <f t="shared" si="219"/>
        <v>2</v>
      </c>
      <c r="CN73" s="303" t="str">
        <f t="shared" si="220"/>
        <v>deep</v>
      </c>
      <c r="CO73" s="304">
        <f t="shared" si="221"/>
        <v>3</v>
      </c>
      <c r="CP73" s="303" t="str">
        <f t="shared" si="222"/>
        <v>mid-size</v>
      </c>
      <c r="CQ73" s="304">
        <f t="shared" si="223"/>
        <v>4</v>
      </c>
      <c r="CR73" s="303" t="str">
        <f t="shared" si="224"/>
        <v>low</v>
      </c>
      <c r="CS73" s="304">
        <f t="shared" si="225"/>
        <v>2</v>
      </c>
      <c r="CT73" s="303" t="str">
        <f t="shared" si="226"/>
        <v>none</v>
      </c>
      <c r="CU73" s="304">
        <f t="shared" si="227"/>
        <v>1</v>
      </c>
      <c r="CV73" s="304">
        <f t="shared" si="228"/>
        <v>133</v>
      </c>
      <c r="CW73" s="304" t="str">
        <f t="shared" si="229"/>
        <v>intermediate complexity hydrodynamics</v>
      </c>
      <c r="CX73" s="304">
        <f t="shared" si="271"/>
        <v>109</v>
      </c>
      <c r="CY73" s="304" t="str">
        <f t="shared" si="230"/>
        <v>intermediate complexity water quality</v>
      </c>
      <c r="CZ73" s="216" t="s">
        <v>402</v>
      </c>
      <c r="DA73" s="252" t="str">
        <f t="shared" ref="DA73:DA96" si="276">IF(BU73&gt;0,"WASP","-")</f>
        <v>WASP</v>
      </c>
      <c r="DB73" s="251" t="str">
        <f t="shared" si="259"/>
        <v>intermediate complexity hydrodynamics; intermediate complexity water quality (WASP)</v>
      </c>
      <c r="DC73" s="227"/>
      <c r="DD73" s="475" t="str">
        <f t="shared" si="260"/>
        <v>Saugatuck River</v>
      </c>
      <c r="DE73" s="475">
        <f t="shared" si="261"/>
        <v>64</v>
      </c>
      <c r="DF73" s="465">
        <f t="shared" si="231"/>
        <v>225.59</v>
      </c>
      <c r="DG73" s="466">
        <f t="shared" si="232"/>
        <v>2.5</v>
      </c>
      <c r="DH73" s="465">
        <f t="shared" si="233"/>
        <v>6.4</v>
      </c>
      <c r="DI73" s="465">
        <f t="shared" si="234"/>
        <v>390.1</v>
      </c>
      <c r="DJ73" s="465">
        <f t="shared" si="235"/>
        <v>16</v>
      </c>
      <c r="DK73" s="465">
        <f t="shared" si="236"/>
        <v>2.5</v>
      </c>
      <c r="DL73" s="465">
        <f t="shared" si="237"/>
        <v>2.2999999999999998</v>
      </c>
      <c r="DM73" s="465">
        <f t="shared" si="238"/>
        <v>9.9</v>
      </c>
      <c r="DN73" s="465">
        <f t="shared" si="239"/>
        <v>100</v>
      </c>
      <c r="DO73" s="465">
        <f t="shared" si="240"/>
        <v>3490808</v>
      </c>
      <c r="DP73" s="465">
        <f t="shared" si="241"/>
        <v>5605275</v>
      </c>
      <c r="DQ73" s="467">
        <f t="shared" si="242"/>
        <v>2.2400000000000002</v>
      </c>
      <c r="DR73" s="467">
        <f t="shared" si="243"/>
        <v>0</v>
      </c>
      <c r="DS73" s="467">
        <f t="shared" si="244"/>
        <v>384031</v>
      </c>
      <c r="DT73" s="467">
        <f t="shared" si="245"/>
        <v>9.1</v>
      </c>
      <c r="DU73" s="467">
        <f t="shared" si="246"/>
        <v>0.6</v>
      </c>
      <c r="DV73" s="467">
        <f t="shared" si="247"/>
        <v>22.25</v>
      </c>
      <c r="DW73" s="467">
        <f t="shared" si="248"/>
        <v>0</v>
      </c>
      <c r="DX73" s="467">
        <f t="shared" si="249"/>
        <v>69</v>
      </c>
      <c r="DY73" s="467">
        <f t="shared" si="250"/>
        <v>0</v>
      </c>
      <c r="DZ73" s="467">
        <f t="shared" si="251"/>
        <v>0</v>
      </c>
      <c r="EA73" s="467">
        <f t="shared" si="252"/>
        <v>97220</v>
      </c>
      <c r="EB73" s="467">
        <f t="shared" si="253"/>
        <v>195</v>
      </c>
      <c r="EC73" s="467">
        <f t="shared" si="254"/>
        <v>6</v>
      </c>
      <c r="ED73" s="467">
        <f t="shared" si="255"/>
        <v>3.4259999999999999E-2</v>
      </c>
      <c r="EE73" s="467">
        <f t="shared" si="256"/>
        <v>2.2400000000000002</v>
      </c>
      <c r="EF73" s="138">
        <f t="shared" si="262"/>
        <v>2.12</v>
      </c>
      <c r="EG73" s="138" t="str">
        <f t="shared" si="263"/>
        <v>possible if water clarity improves</v>
      </c>
      <c r="EH73" s="138">
        <f t="shared" si="264"/>
        <v>2.81</v>
      </c>
      <c r="EI73" s="138">
        <f t="shared" si="265"/>
        <v>1.1599999999999999</v>
      </c>
      <c r="EJ73" s="138">
        <f t="shared" si="266"/>
        <v>0.92</v>
      </c>
    </row>
    <row r="74" spans="1:140" ht="44" customHeight="1" x14ac:dyDescent="0.35">
      <c r="A74" s="388">
        <v>65</v>
      </c>
      <c r="B74" s="215" t="s">
        <v>459</v>
      </c>
      <c r="C74" s="210">
        <v>65</v>
      </c>
      <c r="D74" s="196"/>
      <c r="E74" s="221"/>
      <c r="F74" s="197">
        <v>409453</v>
      </c>
      <c r="G74" s="197">
        <v>2052.2440000000001</v>
      </c>
      <c r="H74" s="241">
        <f t="shared" si="267"/>
        <v>199.51477504624205</v>
      </c>
      <c r="I74" s="241">
        <f t="shared" si="61"/>
        <v>10.286175545266492</v>
      </c>
      <c r="J74" s="212">
        <v>0.21878945813072562</v>
      </c>
      <c r="K74" s="213">
        <v>1.46460570566097</v>
      </c>
      <c r="L74" s="213">
        <v>1.05</v>
      </c>
      <c r="M74" s="213">
        <v>5.0199999999999996</v>
      </c>
      <c r="N74" s="241">
        <f t="shared" si="272"/>
        <v>140239.99049749985</v>
      </c>
      <c r="O74" s="221"/>
      <c r="P74" s="241">
        <f t="shared" si="268"/>
        <v>2457.6021539969297</v>
      </c>
      <c r="Q74" s="241">
        <f t="shared" si="275"/>
        <v>2457.6021539969297</v>
      </c>
      <c r="R74" s="242">
        <f t="shared" si="189"/>
        <v>2.2441999912199999</v>
      </c>
      <c r="S74" s="213">
        <v>1.12209999561</v>
      </c>
      <c r="T74" s="241">
        <f t="shared" si="190"/>
        <v>918894.41900500259</v>
      </c>
      <c r="U74" s="197">
        <v>2</v>
      </c>
      <c r="V74" s="243">
        <f t="shared" si="191"/>
        <v>1.7345714748639598</v>
      </c>
      <c r="W74" s="243">
        <f t="shared" si="192"/>
        <v>5.4393449767104665</v>
      </c>
      <c r="X74" s="241">
        <f t="shared" si="193"/>
        <v>1837788.8380100052</v>
      </c>
      <c r="Y74" s="242">
        <f t="shared" si="194"/>
        <v>0.15261817636171363</v>
      </c>
      <c r="Z74" s="243">
        <f t="shared" si="195"/>
        <v>57.063748202458264</v>
      </c>
      <c r="AA74" s="243">
        <f t="shared" si="196"/>
        <v>1.3372603550351686E-3</v>
      </c>
      <c r="AB74" s="245">
        <f t="shared" si="197"/>
        <v>2.6081529369970796E-3</v>
      </c>
      <c r="AC74" s="245">
        <f t="shared" si="65"/>
        <v>6.5012344758362026</v>
      </c>
      <c r="AD74" s="245">
        <f t="shared" si="198"/>
        <v>6.5522994956376888</v>
      </c>
      <c r="AE74" s="245">
        <f t="shared" si="199"/>
        <v>1.3836930062516674E-3</v>
      </c>
      <c r="AF74" s="221"/>
      <c r="AG74" s="211">
        <v>-73.385963000000004</v>
      </c>
      <c r="AH74" s="242">
        <f t="shared" si="215"/>
        <v>0.72192721768306756</v>
      </c>
      <c r="AI74" s="242">
        <f t="shared" si="66"/>
        <v>1.6622174238716825</v>
      </c>
      <c r="AJ74" s="242">
        <f t="shared" si="67"/>
        <v>2.7704980827728312</v>
      </c>
      <c r="AK74" s="242">
        <f t="shared" si="68"/>
        <v>1.1413187935830063</v>
      </c>
      <c r="AL74" s="242">
        <f t="shared" si="269"/>
        <v>0.91090835102848799</v>
      </c>
      <c r="AM74" s="213">
        <v>1.12209999561</v>
      </c>
      <c r="AN74" s="212">
        <v>0.80110781945668996</v>
      </c>
      <c r="AO74" s="212">
        <v>0.50549391505252095</v>
      </c>
      <c r="AP74" s="212">
        <v>0.41358593049751702</v>
      </c>
      <c r="AQ74" s="484">
        <f t="shared" si="257"/>
        <v>2.1220999956100002</v>
      </c>
      <c r="AR74" s="247" t="str">
        <f t="shared" si="273"/>
        <v>possible if water clarity improves</v>
      </c>
      <c r="AS74" s="221"/>
      <c r="AT74" s="197">
        <v>1371853</v>
      </c>
      <c r="AU74" s="197">
        <v>0</v>
      </c>
      <c r="AV74" s="197">
        <v>0</v>
      </c>
      <c r="AW74" s="197">
        <v>336.42978145710265</v>
      </c>
      <c r="AX74" s="197">
        <v>803.24777619056033</v>
      </c>
      <c r="AY74" s="197">
        <v>202.73955991727638</v>
      </c>
      <c r="AZ74" s="197">
        <v>409.45300000000003</v>
      </c>
      <c r="BA74" s="214"/>
      <c r="BB74" s="197">
        <v>1751.8701175649394</v>
      </c>
      <c r="BC74" s="241">
        <f t="shared" si="274"/>
        <v>1751.8701175649394</v>
      </c>
      <c r="BD74" s="241">
        <f t="shared" si="200"/>
        <v>42.785621733506396</v>
      </c>
      <c r="BE74" s="241">
        <f t="shared" ref="BE74:BE79" si="277">BC74</f>
        <v>1751.8701175649394</v>
      </c>
      <c r="BF74" s="241">
        <f t="shared" si="86"/>
        <v>42.785621733506396</v>
      </c>
      <c r="BG74" s="248">
        <f t="shared" ref="BG74:BG79" si="278">AV74/BE74*100</f>
        <v>0</v>
      </c>
      <c r="BH74" s="221"/>
      <c r="BI74" s="213">
        <f t="shared" si="258"/>
        <v>42.444250000000004</v>
      </c>
      <c r="BJ74" s="197">
        <v>169777</v>
      </c>
      <c r="BK74" s="213">
        <v>0</v>
      </c>
      <c r="BL74" s="197">
        <f t="shared" si="82"/>
        <v>0</v>
      </c>
      <c r="BM74" s="197"/>
      <c r="BN74" s="221"/>
      <c r="BO74" s="241">
        <f t="shared" si="201"/>
        <v>40.945300000000003</v>
      </c>
      <c r="BP74" s="241">
        <f t="shared" si="202"/>
        <v>10.286175545266492</v>
      </c>
      <c r="BQ74" s="242">
        <f t="shared" si="214"/>
        <v>5.0199999999999996</v>
      </c>
      <c r="BR74" s="241">
        <f t="shared" si="203"/>
        <v>2</v>
      </c>
      <c r="BS74" s="244">
        <f t="shared" si="204"/>
        <v>1.3372603550351686E-3</v>
      </c>
      <c r="BT74" s="242">
        <f t="shared" si="205"/>
        <v>6.5012344758362026</v>
      </c>
      <c r="BU74" s="241">
        <f t="shared" si="206"/>
        <v>0</v>
      </c>
      <c r="BV74" s="221"/>
      <c r="CI74" s="221"/>
      <c r="CJ74" s="303" t="str">
        <f t="shared" si="216"/>
        <v>simple complexity hydrodynamics</v>
      </c>
      <c r="CK74" s="304">
        <f t="shared" si="217"/>
        <v>1</v>
      </c>
      <c r="CL74" s="303" t="str">
        <f t="shared" si="218"/>
        <v>complex water quality</v>
      </c>
      <c r="CM74" s="304">
        <f t="shared" si="219"/>
        <v>4</v>
      </c>
      <c r="CN74" s="303" t="str">
        <f t="shared" si="220"/>
        <v>moderate</v>
      </c>
      <c r="CO74" s="304">
        <f t="shared" si="221"/>
        <v>2</v>
      </c>
      <c r="CP74" s="303" t="str">
        <f t="shared" si="222"/>
        <v>small</v>
      </c>
      <c r="CQ74" s="304">
        <f t="shared" si="223"/>
        <v>3</v>
      </c>
      <c r="CR74" s="303" t="str">
        <f t="shared" si="224"/>
        <v>low</v>
      </c>
      <c r="CS74" s="304">
        <f t="shared" si="225"/>
        <v>2</v>
      </c>
      <c r="CT74" s="303" t="str">
        <f t="shared" si="226"/>
        <v>mid-estuary</v>
      </c>
      <c r="CU74" s="304">
        <f t="shared" si="227"/>
        <v>3</v>
      </c>
      <c r="CV74" s="304">
        <f t="shared" si="228"/>
        <v>115</v>
      </c>
      <c r="CW74" s="304" t="str">
        <f t="shared" si="229"/>
        <v>intermediate complexity hydrodynamics</v>
      </c>
      <c r="CX74" s="304">
        <f t="shared" si="271"/>
        <v>117</v>
      </c>
      <c r="CY74" s="304" t="str">
        <f t="shared" si="230"/>
        <v>intermediate complexity water quality</v>
      </c>
      <c r="CZ74" s="216" t="s">
        <v>646</v>
      </c>
      <c r="DA74" s="252" t="str">
        <f t="shared" si="276"/>
        <v>-</v>
      </c>
      <c r="DB74" s="251" t="str">
        <f t="shared" si="259"/>
        <v>intermediate complexity hydrodynamics; intermediate complexity water quality</v>
      </c>
      <c r="DC74" s="227"/>
      <c r="DD74" s="475" t="str">
        <f t="shared" si="260"/>
        <v>Cockenoe Harbor</v>
      </c>
      <c r="DE74" s="475">
        <f t="shared" si="261"/>
        <v>65</v>
      </c>
      <c r="DF74" s="465">
        <f t="shared" si="231"/>
        <v>1.37</v>
      </c>
      <c r="DG74" s="466">
        <f t="shared" si="232"/>
        <v>0.41</v>
      </c>
      <c r="DH74" s="465">
        <f t="shared" si="233"/>
        <v>2.0499999999999998</v>
      </c>
      <c r="DI74" s="465">
        <f t="shared" si="234"/>
        <v>199.5</v>
      </c>
      <c r="DJ74" s="465">
        <f t="shared" si="235"/>
        <v>10</v>
      </c>
      <c r="DK74" s="465">
        <f t="shared" si="236"/>
        <v>1.5</v>
      </c>
      <c r="DL74" s="465">
        <f t="shared" si="237"/>
        <v>1.1000000000000001</v>
      </c>
      <c r="DM74" s="465">
        <f t="shared" si="238"/>
        <v>5</v>
      </c>
      <c r="DN74" s="465">
        <f t="shared" si="239"/>
        <v>22</v>
      </c>
      <c r="DO74" s="465">
        <f t="shared" si="240"/>
        <v>140240</v>
      </c>
      <c r="DP74" s="465">
        <f t="shared" si="241"/>
        <v>918894</v>
      </c>
      <c r="DQ74" s="467">
        <f t="shared" si="242"/>
        <v>2.2400000000000002</v>
      </c>
      <c r="DR74" s="467">
        <f t="shared" si="243"/>
        <v>2</v>
      </c>
      <c r="DS74" s="467">
        <f t="shared" si="244"/>
        <v>2458</v>
      </c>
      <c r="DT74" s="467">
        <f t="shared" si="245"/>
        <v>57.1</v>
      </c>
      <c r="DU74" s="467">
        <f t="shared" si="246"/>
        <v>0.2</v>
      </c>
      <c r="DV74" s="467">
        <f t="shared" si="247"/>
        <v>42.44</v>
      </c>
      <c r="DW74" s="467">
        <f t="shared" si="248"/>
        <v>0</v>
      </c>
      <c r="DX74" s="467">
        <f t="shared" si="249"/>
        <v>80</v>
      </c>
      <c r="DY74" s="467">
        <f t="shared" si="250"/>
        <v>51</v>
      </c>
      <c r="DZ74" s="467">
        <f t="shared" si="251"/>
        <v>41</v>
      </c>
      <c r="EA74" s="467">
        <f t="shared" si="252"/>
        <v>1752</v>
      </c>
      <c r="EB74" s="467">
        <f t="shared" si="253"/>
        <v>43</v>
      </c>
      <c r="EC74" s="467">
        <f t="shared" si="254"/>
        <v>0</v>
      </c>
      <c r="ED74" s="467">
        <f t="shared" si="255"/>
        <v>1.34E-3</v>
      </c>
      <c r="EE74" s="467">
        <f t="shared" si="256"/>
        <v>6.5</v>
      </c>
      <c r="EF74" s="138">
        <f t="shared" si="262"/>
        <v>2.12</v>
      </c>
      <c r="EG74" s="138" t="str">
        <f t="shared" si="263"/>
        <v>possible if water clarity improves</v>
      </c>
      <c r="EH74" s="138">
        <f t="shared" si="264"/>
        <v>2.77</v>
      </c>
      <c r="EI74" s="138">
        <f t="shared" si="265"/>
        <v>1.1399999999999999</v>
      </c>
      <c r="EJ74" s="138">
        <f t="shared" si="266"/>
        <v>0.91</v>
      </c>
    </row>
    <row r="75" spans="1:140" ht="44" customHeight="1" x14ac:dyDescent="0.35">
      <c r="A75" s="388">
        <v>66</v>
      </c>
      <c r="B75" s="215" t="s">
        <v>242</v>
      </c>
      <c r="C75" s="210">
        <v>66</v>
      </c>
      <c r="D75" s="196"/>
      <c r="E75" s="221"/>
      <c r="F75" s="197">
        <v>6850792</v>
      </c>
      <c r="G75" s="197">
        <v>5162.3459999999995</v>
      </c>
      <c r="H75" s="241">
        <f t="shared" si="267"/>
        <v>1327.0695145191742</v>
      </c>
      <c r="I75" s="241">
        <f t="shared" ref="I75:I95" si="279">G75/H75</f>
        <v>3.8900343527749777</v>
      </c>
      <c r="J75" s="212">
        <v>0.65217101905881836</v>
      </c>
      <c r="K75" s="213">
        <v>2.1783541614936301</v>
      </c>
      <c r="L75" s="213">
        <v>1.95</v>
      </c>
      <c r="M75" s="213">
        <v>12.93</v>
      </c>
      <c r="N75" s="241">
        <f t="shared" si="272"/>
        <v>7180685.9496277608</v>
      </c>
      <c r="O75" s="221"/>
      <c r="P75" s="241">
        <f t="shared" si="268"/>
        <v>265727.73895529623</v>
      </c>
      <c r="Q75" s="241">
        <f t="shared" si="275"/>
        <v>265727.73895529623</v>
      </c>
      <c r="R75" s="242">
        <f t="shared" si="189"/>
        <v>2.26040005684</v>
      </c>
      <c r="S75" s="213">
        <v>1.13020002842</v>
      </c>
      <c r="T75" s="241">
        <f t="shared" si="190"/>
        <v>15485530.626199018</v>
      </c>
      <c r="U75" s="197">
        <v>0</v>
      </c>
      <c r="V75" s="243">
        <f t="shared" si="191"/>
        <v>4.2442596071331344</v>
      </c>
      <c r="W75" s="243">
        <f t="shared" si="192"/>
        <v>13.362608755259052</v>
      </c>
      <c r="X75" s="241">
        <f t="shared" si="193"/>
        <v>30971061.252398036</v>
      </c>
      <c r="Y75" s="242">
        <f t="shared" si="194"/>
        <v>0.4637029316566782</v>
      </c>
      <c r="Z75" s="243">
        <f t="shared" si="195"/>
        <v>27.022718734064036</v>
      </c>
      <c r="AA75" s="243">
        <f t="shared" si="196"/>
        <v>8.5798719259166933E-3</v>
      </c>
      <c r="AB75" s="245">
        <f t="shared" si="197"/>
        <v>1.522671604942403E-2</v>
      </c>
      <c r="AC75" s="245">
        <f t="shared" ref="AC75:AC96" si="280">AB75/(0.3*AA75)</f>
        <v>5.9156734043351014</v>
      </c>
      <c r="AD75" s="245">
        <f t="shared" si="198"/>
        <v>2.1565531113363581</v>
      </c>
      <c r="AE75" s="245">
        <f t="shared" si="199"/>
        <v>8.8777841455665776E-3</v>
      </c>
      <c r="AF75" s="221"/>
      <c r="AG75" s="211">
        <v>-73.402332000000001</v>
      </c>
      <c r="AH75" s="246">
        <v>0.94248532653467598</v>
      </c>
      <c r="AI75" s="246">
        <f t="shared" si="66"/>
        <v>1.2732293715512286</v>
      </c>
      <c r="AJ75" s="246">
        <f t="shared" si="67"/>
        <v>3.6169211054072838</v>
      </c>
      <c r="AK75" s="246">
        <f t="shared" si="68"/>
        <v>1.4900064570255245</v>
      </c>
      <c r="AL75" s="246">
        <f t="shared" si="269"/>
        <v>1.1892026420856521</v>
      </c>
      <c r="AM75" s="218">
        <v>1.13020002842</v>
      </c>
      <c r="AN75" s="212">
        <v>0.88438830270878299</v>
      </c>
      <c r="AO75" s="212">
        <v>0.386947481267992</v>
      </c>
      <c r="AP75" s="212">
        <v>0.24552664859771001</v>
      </c>
      <c r="AQ75" s="484">
        <f t="shared" si="257"/>
        <v>2.13020002842</v>
      </c>
      <c r="AR75" s="247" t="str">
        <f t="shared" si="273"/>
        <v>possible if water clarity improves</v>
      </c>
      <c r="AS75" s="221"/>
      <c r="AT75" s="197">
        <v>155516900</v>
      </c>
      <c r="AU75" s="197">
        <v>128384.33948599998</v>
      </c>
      <c r="AV75" s="197">
        <v>117051.68355999999</v>
      </c>
      <c r="AW75" s="197">
        <v>19241.278995080673</v>
      </c>
      <c r="AX75" s="197">
        <v>16405.823061364794</v>
      </c>
      <c r="AY75" s="197">
        <v>14056.728821050292</v>
      </c>
      <c r="AZ75" s="197">
        <v>6850.7920000000004</v>
      </c>
      <c r="BA75" s="214"/>
      <c r="BB75" s="197">
        <v>184938.96236349575</v>
      </c>
      <c r="BC75" s="241">
        <f t="shared" si="274"/>
        <v>173606.30643749575</v>
      </c>
      <c r="BD75" s="241">
        <f t="shared" si="200"/>
        <v>253.41056397201339</v>
      </c>
      <c r="BE75" s="241">
        <f t="shared" si="277"/>
        <v>173606.30643749575</v>
      </c>
      <c r="BF75" s="241">
        <f t="shared" si="86"/>
        <v>253.41056397201339</v>
      </c>
      <c r="BG75" s="248">
        <f t="shared" si="278"/>
        <v>67.423635674285038</v>
      </c>
      <c r="BH75" s="221"/>
      <c r="BI75" s="213">
        <f t="shared" si="258"/>
        <v>82.659100000000009</v>
      </c>
      <c r="BJ75" s="197">
        <v>330636.40000000002</v>
      </c>
      <c r="BK75" s="213">
        <v>0</v>
      </c>
      <c r="BL75" s="197">
        <f t="shared" ref="BL75:BL95" si="281">4046.86*BK75</f>
        <v>0</v>
      </c>
      <c r="BM75" s="197"/>
      <c r="BN75" s="221"/>
      <c r="BO75" s="241">
        <f t="shared" si="201"/>
        <v>685.07920000000001</v>
      </c>
      <c r="BP75" s="241">
        <f t="shared" si="202"/>
        <v>3.8900343527749777</v>
      </c>
      <c r="BQ75" s="242">
        <f t="shared" si="214"/>
        <v>12.93</v>
      </c>
      <c r="BR75" s="241">
        <f t="shared" si="203"/>
        <v>0</v>
      </c>
      <c r="BS75" s="244">
        <f t="shared" si="204"/>
        <v>8.5798719259166933E-3</v>
      </c>
      <c r="BT75" s="242">
        <f t="shared" si="205"/>
        <v>5.9156734043351014</v>
      </c>
      <c r="BU75" s="241">
        <f t="shared" si="206"/>
        <v>67.423635674285038</v>
      </c>
      <c r="BV75" s="221"/>
      <c r="CI75" s="221"/>
      <c r="CJ75" s="303" t="str">
        <f t="shared" si="216"/>
        <v>intermediate complexity hydrodynamics</v>
      </c>
      <c r="CK75" s="304">
        <f t="shared" si="217"/>
        <v>2</v>
      </c>
      <c r="CL75" s="303" t="str">
        <f t="shared" si="218"/>
        <v>complex water quality</v>
      </c>
      <c r="CM75" s="304">
        <f t="shared" si="219"/>
        <v>4</v>
      </c>
      <c r="CN75" s="303" t="str">
        <f t="shared" si="220"/>
        <v>deep</v>
      </c>
      <c r="CO75" s="304">
        <f t="shared" si="221"/>
        <v>3</v>
      </c>
      <c r="CP75" s="303" t="str">
        <f t="shared" si="222"/>
        <v>mid-size</v>
      </c>
      <c r="CQ75" s="304">
        <f t="shared" si="223"/>
        <v>4</v>
      </c>
      <c r="CR75" s="303" t="str">
        <f t="shared" si="224"/>
        <v>very low</v>
      </c>
      <c r="CS75" s="304">
        <f t="shared" si="225"/>
        <v>1</v>
      </c>
      <c r="CT75" s="303" t="str">
        <f t="shared" si="226"/>
        <v>none</v>
      </c>
      <c r="CU75" s="304">
        <f t="shared" si="227"/>
        <v>1</v>
      </c>
      <c r="CV75" s="304">
        <f t="shared" si="228"/>
        <v>152</v>
      </c>
      <c r="CW75" s="304" t="str">
        <f t="shared" si="229"/>
        <v>complex hydrodynamics</v>
      </c>
      <c r="CX75" s="304">
        <f t="shared" si="271"/>
        <v>138</v>
      </c>
      <c r="CY75" s="304" t="str">
        <f t="shared" si="230"/>
        <v>complex water quality</v>
      </c>
      <c r="CZ75" s="216" t="s">
        <v>647</v>
      </c>
      <c r="DA75" s="252" t="str">
        <f t="shared" si="276"/>
        <v>WASP</v>
      </c>
      <c r="DB75" s="251" t="str">
        <f t="shared" si="259"/>
        <v>complex hydrodynamics; complex water quality (WASP)</v>
      </c>
      <c r="DC75" s="227"/>
      <c r="DD75" s="475" t="str">
        <f t="shared" si="260"/>
        <v>Norwalk Harbor</v>
      </c>
      <c r="DE75" s="475">
        <f t="shared" si="261"/>
        <v>66</v>
      </c>
      <c r="DF75" s="465">
        <f t="shared" si="231"/>
        <v>155.52000000000001</v>
      </c>
      <c r="DG75" s="466">
        <f t="shared" si="232"/>
        <v>6.85</v>
      </c>
      <c r="DH75" s="465">
        <f t="shared" si="233"/>
        <v>5.16</v>
      </c>
      <c r="DI75" s="465">
        <f t="shared" si="234"/>
        <v>1327.1</v>
      </c>
      <c r="DJ75" s="465">
        <f t="shared" si="235"/>
        <v>4</v>
      </c>
      <c r="DK75" s="465">
        <f t="shared" si="236"/>
        <v>2.2000000000000002</v>
      </c>
      <c r="DL75" s="465">
        <f t="shared" si="237"/>
        <v>2</v>
      </c>
      <c r="DM75" s="465">
        <f t="shared" si="238"/>
        <v>12.9</v>
      </c>
      <c r="DN75" s="465">
        <f t="shared" si="239"/>
        <v>65</v>
      </c>
      <c r="DO75" s="465">
        <f t="shared" si="240"/>
        <v>7180686</v>
      </c>
      <c r="DP75" s="465">
        <f t="shared" si="241"/>
        <v>15485531</v>
      </c>
      <c r="DQ75" s="467">
        <f t="shared" si="242"/>
        <v>2.2599999999999998</v>
      </c>
      <c r="DR75" s="467">
        <f t="shared" si="243"/>
        <v>0</v>
      </c>
      <c r="DS75" s="467">
        <f t="shared" si="244"/>
        <v>265728</v>
      </c>
      <c r="DT75" s="467">
        <f t="shared" si="245"/>
        <v>27</v>
      </c>
      <c r="DU75" s="467">
        <f t="shared" si="246"/>
        <v>0.5</v>
      </c>
      <c r="DV75" s="467">
        <f t="shared" si="247"/>
        <v>82.66</v>
      </c>
      <c r="DW75" s="467">
        <f t="shared" si="248"/>
        <v>0</v>
      </c>
      <c r="DX75" s="467">
        <f t="shared" si="249"/>
        <v>88</v>
      </c>
      <c r="DY75" s="467">
        <f t="shared" si="250"/>
        <v>39</v>
      </c>
      <c r="DZ75" s="467">
        <f t="shared" si="251"/>
        <v>25</v>
      </c>
      <c r="EA75" s="467">
        <f t="shared" si="252"/>
        <v>173606</v>
      </c>
      <c r="EB75" s="467">
        <f t="shared" si="253"/>
        <v>253</v>
      </c>
      <c r="EC75" s="467">
        <f t="shared" si="254"/>
        <v>67</v>
      </c>
      <c r="ED75" s="467">
        <f t="shared" si="255"/>
        <v>8.5800000000000008E-3</v>
      </c>
      <c r="EE75" s="467">
        <f t="shared" si="256"/>
        <v>5.92</v>
      </c>
      <c r="EF75" s="138">
        <f t="shared" si="262"/>
        <v>2.13</v>
      </c>
      <c r="EG75" s="138" t="str">
        <f t="shared" si="263"/>
        <v>possible if water clarity improves</v>
      </c>
      <c r="EH75" s="138">
        <f t="shared" si="264"/>
        <v>3.62</v>
      </c>
      <c r="EI75" s="138">
        <f t="shared" si="265"/>
        <v>1.49</v>
      </c>
      <c r="EJ75" s="138">
        <f t="shared" si="266"/>
        <v>1.19</v>
      </c>
    </row>
    <row r="76" spans="1:140" ht="44" customHeight="1" x14ac:dyDescent="0.35">
      <c r="A76" s="388">
        <v>67</v>
      </c>
      <c r="B76" s="215" t="s">
        <v>460</v>
      </c>
      <c r="C76" s="210">
        <v>67</v>
      </c>
      <c r="D76" s="196"/>
      <c r="E76" s="221"/>
      <c r="F76" s="197">
        <v>388896</v>
      </c>
      <c r="G76" s="197">
        <v>1022.78</v>
      </c>
      <c r="H76" s="241">
        <f t="shared" si="267"/>
        <v>380.23426347797181</v>
      </c>
      <c r="I76" s="241">
        <f t="shared" si="279"/>
        <v>2.6898680582983623</v>
      </c>
      <c r="J76" s="212">
        <v>0.37771537891878548</v>
      </c>
      <c r="K76" s="213">
        <v>1.3977047848267901</v>
      </c>
      <c r="L76" s="213">
        <v>1.35</v>
      </c>
      <c r="M76" s="213">
        <v>2.63</v>
      </c>
      <c r="N76" s="241">
        <f t="shared" si="272"/>
        <v>104070.42579935968</v>
      </c>
      <c r="O76" s="221"/>
      <c r="P76" s="241">
        <f t="shared" si="268"/>
        <v>7246.9364504086516</v>
      </c>
      <c r="Q76" s="241">
        <f t="shared" si="275"/>
        <v>7246.9364504086516</v>
      </c>
      <c r="R76" s="242">
        <f t="shared" si="189"/>
        <v>2.2602000236599999</v>
      </c>
      <c r="S76" s="213">
        <v>1.13010001183</v>
      </c>
      <c r="T76" s="241">
        <f t="shared" si="190"/>
        <v>878982.74840127933</v>
      </c>
      <c r="U76" s="197">
        <v>0</v>
      </c>
      <c r="V76" s="243">
        <f t="shared" si="191"/>
        <v>0.93295943080150001</v>
      </c>
      <c r="W76" s="243">
        <f t="shared" si="192"/>
        <v>2.9155348174383335</v>
      </c>
      <c r="X76" s="241">
        <f t="shared" si="193"/>
        <v>1757965.4968025587</v>
      </c>
      <c r="Y76" s="242">
        <f t="shared" si="194"/>
        <v>0.11839871258980469</v>
      </c>
      <c r="Z76" s="243">
        <f t="shared" si="195"/>
        <v>14.360609688179506</v>
      </c>
      <c r="AA76" s="243">
        <f t="shared" si="196"/>
        <v>4.1223428239004697E-3</v>
      </c>
      <c r="AB76" s="245">
        <f t="shared" si="197"/>
        <v>2.7976973188000584E-3</v>
      </c>
      <c r="AC76" s="245">
        <f t="shared" si="280"/>
        <v>2.2622227523789005</v>
      </c>
      <c r="AD76" s="245">
        <f t="shared" si="198"/>
        <v>8.44603778306716</v>
      </c>
      <c r="AE76" s="245">
        <f t="shared" si="199"/>
        <v>4.265479727508124E-3</v>
      </c>
      <c r="AF76" s="221"/>
      <c r="AG76" s="211">
        <v>-73.430436</v>
      </c>
      <c r="AH76" s="242">
        <f>(AG76^2*-0.304-43.623*AG76-1561.6)*0.4012-0.2907</f>
        <v>0.70392076081828914</v>
      </c>
      <c r="AI76" s="242">
        <f t="shared" ref="AI76:AI93" si="282">1.2/AH76</f>
        <v>1.7047373323739337</v>
      </c>
      <c r="AJ76" s="242">
        <f t="shared" ref="AJ76:AJ93" si="283">-LN(0.01)/AI76</f>
        <v>2.701395750848699</v>
      </c>
      <c r="AK76" s="242">
        <f t="shared" ref="AK76:AK93" si="284">-LN(0.15)/AI76</f>
        <v>1.1128517859370424</v>
      </c>
      <c r="AL76" s="242">
        <f t="shared" si="269"/>
        <v>0.88818828794068549</v>
      </c>
      <c r="AM76" s="213">
        <v>1.13010001183</v>
      </c>
      <c r="AN76" s="212">
        <v>1.0000205710524199</v>
      </c>
      <c r="AO76" s="212">
        <v>0.40266806549823098</v>
      </c>
      <c r="AP76" s="212">
        <v>0.32945568995309799</v>
      </c>
      <c r="AQ76" s="484">
        <f t="shared" si="257"/>
        <v>2.1301000118299998</v>
      </c>
      <c r="AR76" s="247" t="str">
        <f t="shared" si="273"/>
        <v>possible if water clarity improves</v>
      </c>
      <c r="AS76" s="221"/>
      <c r="AT76" s="197">
        <v>4089727</v>
      </c>
      <c r="AU76" s="197">
        <v>0</v>
      </c>
      <c r="AV76" s="197">
        <v>0</v>
      </c>
      <c r="AW76" s="197">
        <v>81.511382681646595</v>
      </c>
      <c r="AX76" s="197">
        <v>467.97444284331459</v>
      </c>
      <c r="AY76" s="197">
        <v>864.18165791792751</v>
      </c>
      <c r="AZ76" s="197">
        <v>388.89600000000002</v>
      </c>
      <c r="BA76" s="214"/>
      <c r="BB76" s="197">
        <v>1802.5634834428888</v>
      </c>
      <c r="BC76" s="241">
        <f t="shared" si="274"/>
        <v>1802.5634834428888</v>
      </c>
      <c r="BD76" s="241">
        <f t="shared" si="200"/>
        <v>46.350784874179446</v>
      </c>
      <c r="BE76" s="241">
        <f t="shared" si="277"/>
        <v>1802.5634834428888</v>
      </c>
      <c r="BF76" s="241">
        <f t="shared" si="86"/>
        <v>46.350784874179446</v>
      </c>
      <c r="BG76" s="248">
        <f t="shared" si="278"/>
        <v>0</v>
      </c>
      <c r="BH76" s="221"/>
      <c r="BI76" s="213">
        <f t="shared" si="258"/>
        <v>3.55464</v>
      </c>
      <c r="BJ76" s="197">
        <v>14218.56</v>
      </c>
      <c r="BK76" s="213">
        <v>0</v>
      </c>
      <c r="BL76" s="197">
        <f t="shared" si="281"/>
        <v>0</v>
      </c>
      <c r="BM76" s="197"/>
      <c r="BN76" s="221"/>
      <c r="BO76" s="241">
        <f t="shared" si="201"/>
        <v>38.889600000000002</v>
      </c>
      <c r="BP76" s="241">
        <f t="shared" si="202"/>
        <v>2.6898680582983623</v>
      </c>
      <c r="BQ76" s="242">
        <f t="shared" si="214"/>
        <v>2.63</v>
      </c>
      <c r="BR76" s="241">
        <f t="shared" si="203"/>
        <v>0</v>
      </c>
      <c r="BS76" s="244">
        <f t="shared" si="204"/>
        <v>4.1223428239004697E-3</v>
      </c>
      <c r="BT76" s="242">
        <f t="shared" si="205"/>
        <v>2.2622227523789005</v>
      </c>
      <c r="BU76" s="241">
        <f t="shared" si="206"/>
        <v>0</v>
      </c>
      <c r="BV76" s="221"/>
      <c r="CI76" s="221"/>
      <c r="CJ76" s="303" t="str">
        <f t="shared" si="216"/>
        <v>intermediate complexity hydrodynamics</v>
      </c>
      <c r="CK76" s="304">
        <f t="shared" si="217"/>
        <v>2</v>
      </c>
      <c r="CL76" s="303" t="str">
        <f t="shared" si="218"/>
        <v>intermediate complexity water quality</v>
      </c>
      <c r="CM76" s="304">
        <f t="shared" si="219"/>
        <v>2</v>
      </c>
      <c r="CN76" s="303" t="str">
        <f t="shared" si="220"/>
        <v>shallow</v>
      </c>
      <c r="CO76" s="304">
        <f t="shared" si="221"/>
        <v>1</v>
      </c>
      <c r="CP76" s="303" t="str">
        <f t="shared" si="222"/>
        <v>small</v>
      </c>
      <c r="CQ76" s="304">
        <f t="shared" si="223"/>
        <v>3</v>
      </c>
      <c r="CR76" s="303" t="str">
        <f t="shared" si="224"/>
        <v>very low</v>
      </c>
      <c r="CS76" s="304">
        <f t="shared" si="225"/>
        <v>1</v>
      </c>
      <c r="CT76" s="303" t="str">
        <f t="shared" si="226"/>
        <v>none</v>
      </c>
      <c r="CU76" s="304">
        <f t="shared" si="227"/>
        <v>1</v>
      </c>
      <c r="CV76" s="304">
        <f t="shared" si="228"/>
        <v>102</v>
      </c>
      <c r="CW76" s="304" t="str">
        <f t="shared" si="229"/>
        <v>intermediate complexity hydrodynamics</v>
      </c>
      <c r="CX76" s="304">
        <f t="shared" si="271"/>
        <v>64</v>
      </c>
      <c r="CY76" s="304" t="str">
        <f t="shared" si="230"/>
        <v>intermediate complexity water quality</v>
      </c>
      <c r="CZ76" s="216" t="s">
        <v>402</v>
      </c>
      <c r="DA76" s="252" t="str">
        <f t="shared" si="276"/>
        <v>-</v>
      </c>
      <c r="DB76" s="251" t="str">
        <f t="shared" si="259"/>
        <v>intermediate complexity hydrodynamics; intermediate complexity water quality</v>
      </c>
      <c r="DC76" s="227"/>
      <c r="DD76" s="475" t="str">
        <f t="shared" si="260"/>
        <v>Sheffield Island Harbor</v>
      </c>
      <c r="DE76" s="475">
        <f t="shared" si="261"/>
        <v>67</v>
      </c>
      <c r="DF76" s="465">
        <f t="shared" si="231"/>
        <v>4.09</v>
      </c>
      <c r="DG76" s="466">
        <f t="shared" si="232"/>
        <v>0.39</v>
      </c>
      <c r="DH76" s="465">
        <f t="shared" si="233"/>
        <v>1.02</v>
      </c>
      <c r="DI76" s="465">
        <f t="shared" si="234"/>
        <v>380.2</v>
      </c>
      <c r="DJ76" s="465">
        <f t="shared" si="235"/>
        <v>3</v>
      </c>
      <c r="DK76" s="465">
        <f t="shared" si="236"/>
        <v>1.4</v>
      </c>
      <c r="DL76" s="465">
        <f t="shared" si="237"/>
        <v>1.4</v>
      </c>
      <c r="DM76" s="465">
        <f t="shared" si="238"/>
        <v>2.6</v>
      </c>
      <c r="DN76" s="465">
        <f t="shared" si="239"/>
        <v>38</v>
      </c>
      <c r="DO76" s="465">
        <f t="shared" si="240"/>
        <v>104070</v>
      </c>
      <c r="DP76" s="465">
        <f t="shared" si="241"/>
        <v>878983</v>
      </c>
      <c r="DQ76" s="467">
        <f t="shared" si="242"/>
        <v>2.2599999999999998</v>
      </c>
      <c r="DR76" s="467">
        <f t="shared" si="243"/>
        <v>0</v>
      </c>
      <c r="DS76" s="467">
        <f t="shared" si="244"/>
        <v>7247</v>
      </c>
      <c r="DT76" s="467">
        <f t="shared" si="245"/>
        <v>14.4</v>
      </c>
      <c r="DU76" s="467">
        <f t="shared" si="246"/>
        <v>0.1</v>
      </c>
      <c r="DV76" s="467">
        <f t="shared" si="247"/>
        <v>3.55</v>
      </c>
      <c r="DW76" s="467">
        <f t="shared" si="248"/>
        <v>0</v>
      </c>
      <c r="DX76" s="467">
        <f t="shared" si="249"/>
        <v>100</v>
      </c>
      <c r="DY76" s="467">
        <f t="shared" si="250"/>
        <v>40</v>
      </c>
      <c r="DZ76" s="467">
        <f t="shared" si="251"/>
        <v>33</v>
      </c>
      <c r="EA76" s="467">
        <f t="shared" si="252"/>
        <v>1803</v>
      </c>
      <c r="EB76" s="467">
        <f t="shared" si="253"/>
        <v>46</v>
      </c>
      <c r="EC76" s="467">
        <f t="shared" si="254"/>
        <v>0</v>
      </c>
      <c r="ED76" s="467">
        <f t="shared" si="255"/>
        <v>4.1200000000000004E-3</v>
      </c>
      <c r="EE76" s="467">
        <f t="shared" si="256"/>
        <v>2.2599999999999998</v>
      </c>
      <c r="EF76" s="138">
        <f t="shared" si="262"/>
        <v>2.13</v>
      </c>
      <c r="EG76" s="138" t="str">
        <f t="shared" si="263"/>
        <v>possible if water clarity improves</v>
      </c>
      <c r="EH76" s="138">
        <f t="shared" si="264"/>
        <v>2.7</v>
      </c>
      <c r="EI76" s="138">
        <f t="shared" si="265"/>
        <v>1.1100000000000001</v>
      </c>
      <c r="EJ76" s="138">
        <f t="shared" si="266"/>
        <v>0.89</v>
      </c>
    </row>
    <row r="77" spans="1:140" ht="44" customHeight="1" x14ac:dyDescent="0.35">
      <c r="A77" s="388">
        <v>68</v>
      </c>
      <c r="B77" s="215" t="s">
        <v>246</v>
      </c>
      <c r="C77" s="210">
        <v>68</v>
      </c>
      <c r="D77" s="196"/>
      <c r="E77" s="221"/>
      <c r="F77" s="197">
        <v>425175</v>
      </c>
      <c r="G77" s="197">
        <v>2026.586</v>
      </c>
      <c r="H77" s="241">
        <f t="shared" si="267"/>
        <v>209.79864659086761</v>
      </c>
      <c r="I77" s="241">
        <f t="shared" si="279"/>
        <v>9.6596714656223899</v>
      </c>
      <c r="J77" s="212">
        <v>0.32449226788969249</v>
      </c>
      <c r="K77" s="213">
        <v>1.26505168460046</v>
      </c>
      <c r="L77" s="213">
        <v>1.35</v>
      </c>
      <c r="M77" s="213">
        <v>2.97</v>
      </c>
      <c r="N77" s="241">
        <f t="shared" si="272"/>
        <v>42517.5</v>
      </c>
      <c r="O77" s="221"/>
      <c r="P77" s="241">
        <f t="shared" si="268"/>
        <v>57378.327921583637</v>
      </c>
      <c r="Q77" s="241">
        <f t="shared" si="275"/>
        <v>57378.327921583637</v>
      </c>
      <c r="R77" s="242">
        <f t="shared" si="189"/>
        <v>2.3499999046400002</v>
      </c>
      <c r="S77" s="213">
        <v>1.1749999523200001</v>
      </c>
      <c r="T77" s="241">
        <f t="shared" si="190"/>
        <v>999161.20945531211</v>
      </c>
      <c r="U77" s="197">
        <v>0</v>
      </c>
      <c r="V77" s="243">
        <f t="shared" si="191"/>
        <v>1.717522722100435</v>
      </c>
      <c r="W77" s="243">
        <f t="shared" si="192"/>
        <v>5.3852487829663831</v>
      </c>
      <c r="X77" s="241">
        <f t="shared" si="193"/>
        <v>1998322.4189106242</v>
      </c>
      <c r="Y77" s="242">
        <f t="shared" si="194"/>
        <v>4.2553193216115955E-2</v>
      </c>
      <c r="Z77" s="243">
        <f t="shared" si="195"/>
        <v>0.74100277125723746</v>
      </c>
      <c r="AA77" s="243">
        <f t="shared" si="196"/>
        <v>2.871324836202516E-2</v>
      </c>
      <c r="AB77" s="245">
        <f t="shared" si="197"/>
        <v>2.2839502357517995E-2</v>
      </c>
      <c r="AC77" s="245">
        <f t="shared" si="280"/>
        <v>2.6514476371732387</v>
      </c>
      <c r="AD77" s="245">
        <f t="shared" si="198"/>
        <v>23.499999046400003</v>
      </c>
      <c r="AE77" s="245">
        <f t="shared" si="199"/>
        <v>2.9710236152373261E-2</v>
      </c>
      <c r="AF77" s="221"/>
      <c r="AG77" s="211">
        <v>-73.446383999999995</v>
      </c>
      <c r="AH77" s="242">
        <f>(AG77^2*-0.304-43.623*AG77-1561.6)*0.4012-0.2907</f>
        <v>0.69734612803087082</v>
      </c>
      <c r="AI77" s="242">
        <f t="shared" si="282"/>
        <v>1.72080972671132</v>
      </c>
      <c r="AJ77" s="242">
        <f t="shared" si="283"/>
        <v>2.6761646651016671</v>
      </c>
      <c r="AK77" s="242">
        <f t="shared" si="284"/>
        <v>1.1024577298917946</v>
      </c>
      <c r="AL77" s="242">
        <f t="shared" si="269"/>
        <v>0.87989259307794632</v>
      </c>
      <c r="AM77" s="213">
        <v>1.1749999523200001</v>
      </c>
      <c r="AN77" s="212">
        <v>0.97295662570314201</v>
      </c>
      <c r="AO77" s="212">
        <v>0.41280884341741603</v>
      </c>
      <c r="AP77" s="212">
        <v>0.33775269006879499</v>
      </c>
      <c r="AQ77" s="484">
        <f t="shared" si="257"/>
        <v>2.1749999523200003</v>
      </c>
      <c r="AR77" s="247" t="str">
        <f t="shared" si="273"/>
        <v>possible if water clarity improves</v>
      </c>
      <c r="AS77" s="221"/>
      <c r="AT77" s="197">
        <v>33064690</v>
      </c>
      <c r="AU77" s="197">
        <v>4594.3199699999996</v>
      </c>
      <c r="AV77" s="197">
        <v>3531.9697066666663</v>
      </c>
      <c r="AW77" s="197">
        <v>3999.4429677952985</v>
      </c>
      <c r="AX77" s="197">
        <v>6536.4808290828032</v>
      </c>
      <c r="AY77" s="197">
        <v>2644.1129460286174</v>
      </c>
      <c r="AZ77" s="197">
        <v>425.17500000000001</v>
      </c>
      <c r="BA77" s="214"/>
      <c r="BB77" s="197">
        <v>18199.531712906719</v>
      </c>
      <c r="BC77" s="241">
        <f t="shared" si="274"/>
        <v>17137.181449573385</v>
      </c>
      <c r="BD77" s="241">
        <f t="shared" si="200"/>
        <v>403.06183217671281</v>
      </c>
      <c r="BE77" s="241">
        <f t="shared" si="277"/>
        <v>17137.181449573385</v>
      </c>
      <c r="BF77" s="241">
        <f>BD77</f>
        <v>403.06183217671281</v>
      </c>
      <c r="BG77" s="248">
        <f t="shared" si="278"/>
        <v>20.609980217923127</v>
      </c>
      <c r="BH77" s="221"/>
      <c r="BI77" s="213">
        <f t="shared" si="258"/>
        <v>2.6426674999999999</v>
      </c>
      <c r="BJ77" s="197">
        <v>10570.67</v>
      </c>
      <c r="BK77" s="213">
        <v>0</v>
      </c>
      <c r="BL77" s="197">
        <f t="shared" si="281"/>
        <v>0</v>
      </c>
      <c r="BM77" s="197"/>
      <c r="BN77" s="221"/>
      <c r="BO77" s="241">
        <f t="shared" si="201"/>
        <v>42.517499999999998</v>
      </c>
      <c r="BP77" s="241">
        <f t="shared" si="202"/>
        <v>9.6596714656223899</v>
      </c>
      <c r="BQ77" s="242">
        <f t="shared" si="214"/>
        <v>2.97</v>
      </c>
      <c r="BR77" s="241">
        <f t="shared" si="203"/>
        <v>0</v>
      </c>
      <c r="BS77" s="244">
        <f t="shared" si="204"/>
        <v>2.871324836202516E-2</v>
      </c>
      <c r="BT77" s="242">
        <f t="shared" si="205"/>
        <v>2.6514476371732387</v>
      </c>
      <c r="BU77" s="241">
        <f t="shared" si="206"/>
        <v>20.609980217923127</v>
      </c>
      <c r="BV77" s="221"/>
      <c r="CI77" s="221"/>
      <c r="CJ77" s="303" t="str">
        <f t="shared" si="216"/>
        <v>intermediate complexity hydrodynamics</v>
      </c>
      <c r="CK77" s="304">
        <f t="shared" si="217"/>
        <v>2</v>
      </c>
      <c r="CL77" s="303" t="str">
        <f t="shared" si="218"/>
        <v>intermediate or complex water quality</v>
      </c>
      <c r="CM77" s="304">
        <f t="shared" si="219"/>
        <v>3</v>
      </c>
      <c r="CN77" s="303" t="str">
        <f t="shared" si="220"/>
        <v>shallow</v>
      </c>
      <c r="CO77" s="304">
        <f t="shared" si="221"/>
        <v>1</v>
      </c>
      <c r="CP77" s="303" t="str">
        <f t="shared" si="222"/>
        <v>mid-size</v>
      </c>
      <c r="CQ77" s="304">
        <f t="shared" si="223"/>
        <v>4</v>
      </c>
      <c r="CR77" s="303" t="str">
        <f t="shared" si="224"/>
        <v>very low</v>
      </c>
      <c r="CS77" s="304">
        <f t="shared" si="225"/>
        <v>1</v>
      </c>
      <c r="CT77" s="303" t="str">
        <f t="shared" si="226"/>
        <v>none</v>
      </c>
      <c r="CU77" s="304">
        <f t="shared" si="227"/>
        <v>1</v>
      </c>
      <c r="CV77" s="304">
        <f t="shared" si="228"/>
        <v>122</v>
      </c>
      <c r="CW77" s="304" t="str">
        <f t="shared" si="229"/>
        <v>intermediate complexity hydrodynamics</v>
      </c>
      <c r="CX77" s="304">
        <f t="shared" si="271"/>
        <v>83</v>
      </c>
      <c r="CY77" s="304" t="str">
        <f t="shared" si="230"/>
        <v>intermediate complexity water quality</v>
      </c>
      <c r="CZ77" s="216" t="s">
        <v>402</v>
      </c>
      <c r="DA77" s="252" t="str">
        <f t="shared" si="276"/>
        <v>WASP</v>
      </c>
      <c r="DB77" s="251" t="str">
        <f t="shared" si="259"/>
        <v>intermediate complexity hydrodynamics; intermediate complexity water quality (WASP)</v>
      </c>
      <c r="DC77" s="227"/>
      <c r="DD77" s="475" t="str">
        <f t="shared" si="260"/>
        <v>Five Mile River</v>
      </c>
      <c r="DE77" s="475">
        <f t="shared" si="261"/>
        <v>68</v>
      </c>
      <c r="DF77" s="465">
        <f t="shared" si="231"/>
        <v>33.06</v>
      </c>
      <c r="DG77" s="466">
        <f t="shared" si="232"/>
        <v>0.43</v>
      </c>
      <c r="DH77" s="465">
        <f t="shared" si="233"/>
        <v>2.0299999999999998</v>
      </c>
      <c r="DI77" s="465">
        <f t="shared" si="234"/>
        <v>209.8</v>
      </c>
      <c r="DJ77" s="465">
        <f t="shared" si="235"/>
        <v>10</v>
      </c>
      <c r="DK77" s="465">
        <f t="shared" si="236"/>
        <v>1.3</v>
      </c>
      <c r="DL77" s="465">
        <f t="shared" si="237"/>
        <v>1.4</v>
      </c>
      <c r="DM77" s="465">
        <f t="shared" si="238"/>
        <v>3</v>
      </c>
      <c r="DN77" s="465">
        <f t="shared" si="239"/>
        <v>32</v>
      </c>
      <c r="DO77" s="465">
        <f t="shared" si="240"/>
        <v>42518</v>
      </c>
      <c r="DP77" s="465">
        <f t="shared" si="241"/>
        <v>999161</v>
      </c>
      <c r="DQ77" s="467">
        <f t="shared" si="242"/>
        <v>2.35</v>
      </c>
      <c r="DR77" s="467">
        <f t="shared" si="243"/>
        <v>0</v>
      </c>
      <c r="DS77" s="467">
        <f t="shared" si="244"/>
        <v>57378</v>
      </c>
      <c r="DT77" s="467">
        <f t="shared" si="245"/>
        <v>0.7</v>
      </c>
      <c r="DU77" s="467">
        <f t="shared" si="246"/>
        <v>0</v>
      </c>
      <c r="DV77" s="467">
        <f t="shared" si="247"/>
        <v>2.64</v>
      </c>
      <c r="DW77" s="467">
        <f t="shared" si="248"/>
        <v>0</v>
      </c>
      <c r="DX77" s="467">
        <f t="shared" si="249"/>
        <v>97</v>
      </c>
      <c r="DY77" s="467">
        <f t="shared" si="250"/>
        <v>41</v>
      </c>
      <c r="DZ77" s="467">
        <f t="shared" si="251"/>
        <v>34</v>
      </c>
      <c r="EA77" s="467">
        <f t="shared" si="252"/>
        <v>17137</v>
      </c>
      <c r="EB77" s="467">
        <f t="shared" si="253"/>
        <v>403</v>
      </c>
      <c r="EC77" s="467">
        <f t="shared" si="254"/>
        <v>21</v>
      </c>
      <c r="ED77" s="467">
        <f t="shared" si="255"/>
        <v>2.8709999999999999E-2</v>
      </c>
      <c r="EE77" s="467">
        <f t="shared" si="256"/>
        <v>2.65</v>
      </c>
      <c r="EF77" s="138">
        <f t="shared" si="262"/>
        <v>2.17</v>
      </c>
      <c r="EG77" s="138" t="str">
        <f t="shared" si="263"/>
        <v>possible if water clarity improves</v>
      </c>
      <c r="EH77" s="138">
        <f t="shared" si="264"/>
        <v>2.68</v>
      </c>
      <c r="EI77" s="138">
        <f t="shared" si="265"/>
        <v>1.1000000000000001</v>
      </c>
      <c r="EJ77" s="138">
        <f t="shared" si="266"/>
        <v>0.88</v>
      </c>
    </row>
    <row r="78" spans="1:140" ht="44" customHeight="1" x14ac:dyDescent="0.35">
      <c r="A78" s="388">
        <v>69</v>
      </c>
      <c r="B78" s="215" t="s">
        <v>461</v>
      </c>
      <c r="C78" s="210">
        <v>69</v>
      </c>
      <c r="D78" s="196"/>
      <c r="E78" s="221"/>
      <c r="F78" s="197">
        <v>829319</v>
      </c>
      <c r="G78" s="197">
        <v>2493.4059999999999</v>
      </c>
      <c r="H78" s="241">
        <f t="shared" si="267"/>
        <v>332.60487862786886</v>
      </c>
      <c r="I78" s="241">
        <f t="shared" si="279"/>
        <v>7.4966008023884658</v>
      </c>
      <c r="J78" s="212">
        <v>0.37278658754954364</v>
      </c>
      <c r="K78" s="213">
        <v>1.25520896217782</v>
      </c>
      <c r="L78" s="213">
        <v>1.1499999999999999</v>
      </c>
      <c r="M78" s="213">
        <v>4.1500000000000004</v>
      </c>
      <c r="N78" s="241">
        <f t="shared" si="272"/>
        <v>90237.360586599898</v>
      </c>
      <c r="O78" s="221"/>
      <c r="P78" s="241">
        <f t="shared" si="268"/>
        <v>6079.2235371785273</v>
      </c>
      <c r="Q78" s="241">
        <f t="shared" si="275"/>
        <v>6079.2235371785273</v>
      </c>
      <c r="R78" s="242">
        <f t="shared" si="189"/>
        <v>2.29279994964</v>
      </c>
      <c r="S78" s="213">
        <v>1.14639997482</v>
      </c>
      <c r="T78" s="241">
        <f t="shared" si="190"/>
        <v>1901462.5614354953</v>
      </c>
      <c r="U78" s="197">
        <v>0</v>
      </c>
      <c r="V78" s="243">
        <f t="shared" si="191"/>
        <v>2.0921199851838348</v>
      </c>
      <c r="W78" s="243">
        <f t="shared" si="192"/>
        <v>6.5649894654417169</v>
      </c>
      <c r="X78" s="241">
        <f t="shared" si="193"/>
        <v>3802925.1228709905</v>
      </c>
      <c r="Y78" s="242">
        <f t="shared" si="194"/>
        <v>4.745681688230341E-2</v>
      </c>
      <c r="Z78" s="243">
        <f t="shared" si="195"/>
        <v>14.843566786899338</v>
      </c>
      <c r="AA78" s="243">
        <f t="shared" si="196"/>
        <v>1.598565141505879E-3</v>
      </c>
      <c r="AB78" s="245">
        <f t="shared" si="197"/>
        <v>2.5176846696488139E-3</v>
      </c>
      <c r="AC78" s="245">
        <f t="shared" si="280"/>
        <v>5.249884420885734</v>
      </c>
      <c r="AD78" s="245">
        <f t="shared" si="198"/>
        <v>21.071788326639723</v>
      </c>
      <c r="AE78" s="245">
        <f t="shared" si="199"/>
        <v>1.6540708755859441E-3</v>
      </c>
      <c r="AF78" s="221"/>
      <c r="AG78" s="211">
        <v>-73.464195000000004</v>
      </c>
      <c r="AH78" s="246">
        <v>0.50371948066998673</v>
      </c>
      <c r="AI78" s="246">
        <f t="shared" si="282"/>
        <v>2.3822783236493157</v>
      </c>
      <c r="AJ78" s="246">
        <f t="shared" si="283"/>
        <v>1.9330949454023563</v>
      </c>
      <c r="AK78" s="246">
        <f t="shared" si="284"/>
        <v>0.7963469112961411</v>
      </c>
      <c r="AL78" s="246">
        <f t="shared" si="269"/>
        <v>0.63557969595691266</v>
      </c>
      <c r="AM78" s="218">
        <v>1.14639997482</v>
      </c>
      <c r="AN78" s="212">
        <v>0.87034233483449497</v>
      </c>
      <c r="AO78" s="212">
        <v>0.29516265755396898</v>
      </c>
      <c r="AP78" s="212">
        <v>0.22137199316547701</v>
      </c>
      <c r="AQ78" s="484">
        <f t="shared" si="257"/>
        <v>2.14639997482</v>
      </c>
      <c r="AR78" s="247" t="str">
        <f t="shared" si="273"/>
        <v>possible if water clarity improves</v>
      </c>
      <c r="AS78" s="221"/>
      <c r="AT78" s="197">
        <v>3424658</v>
      </c>
      <c r="AU78" s="197">
        <v>0</v>
      </c>
      <c r="AV78" s="197">
        <v>0</v>
      </c>
      <c r="AW78" s="197">
        <v>1645.1902790067656</v>
      </c>
      <c r="AX78" s="197">
        <v>548.2592275695564</v>
      </c>
      <c r="AY78" s="197">
        <v>477.53471851948217</v>
      </c>
      <c r="AZ78" s="197">
        <v>829.31900000000007</v>
      </c>
      <c r="BA78" s="214"/>
      <c r="BB78" s="197">
        <v>3500.3032250958045</v>
      </c>
      <c r="BC78" s="241">
        <f t="shared" si="274"/>
        <v>3500.3032250958045</v>
      </c>
      <c r="BD78" s="241">
        <f t="shared" si="200"/>
        <v>42.206958059513944</v>
      </c>
      <c r="BE78" s="241">
        <f t="shared" si="277"/>
        <v>3500.3032250958045</v>
      </c>
      <c r="BF78" s="241">
        <f>BD78</f>
        <v>42.206958059513944</v>
      </c>
      <c r="BG78" s="248">
        <f t="shared" si="278"/>
        <v>0</v>
      </c>
      <c r="BH78" s="221"/>
      <c r="BI78" s="213">
        <f t="shared" si="258"/>
        <v>7.9001800000000006</v>
      </c>
      <c r="BJ78" s="197">
        <v>31600.720000000001</v>
      </c>
      <c r="BK78" s="213">
        <v>0</v>
      </c>
      <c r="BL78" s="197">
        <f t="shared" si="281"/>
        <v>0</v>
      </c>
      <c r="BM78" s="197"/>
      <c r="BN78" s="221"/>
      <c r="BO78" s="241">
        <f t="shared" si="201"/>
        <v>82.931899999999999</v>
      </c>
      <c r="BP78" s="241">
        <f t="shared" si="202"/>
        <v>7.4966008023884658</v>
      </c>
      <c r="BQ78" s="242">
        <f t="shared" si="214"/>
        <v>4.1500000000000004</v>
      </c>
      <c r="BR78" s="241">
        <f t="shared" si="203"/>
        <v>0</v>
      </c>
      <c r="BS78" s="244">
        <f t="shared" si="204"/>
        <v>1.598565141505879E-3</v>
      </c>
      <c r="BT78" s="242">
        <f t="shared" si="205"/>
        <v>5.249884420885734</v>
      </c>
      <c r="BU78" s="241">
        <f t="shared" si="206"/>
        <v>0</v>
      </c>
      <c r="BV78" s="221"/>
      <c r="CH78" s="275"/>
      <c r="CI78" s="221"/>
      <c r="CJ78" s="303" t="str">
        <f t="shared" si="216"/>
        <v>simple complexity hydrodynamics</v>
      </c>
      <c r="CK78" s="304">
        <f t="shared" si="217"/>
        <v>1</v>
      </c>
      <c r="CL78" s="303" t="str">
        <f t="shared" si="218"/>
        <v>complex water quality</v>
      </c>
      <c r="CM78" s="304">
        <f t="shared" si="219"/>
        <v>4</v>
      </c>
      <c r="CN78" s="303" t="str">
        <f t="shared" si="220"/>
        <v>moderate</v>
      </c>
      <c r="CO78" s="304">
        <f t="shared" si="221"/>
        <v>2</v>
      </c>
      <c r="CP78" s="303" t="str">
        <f t="shared" si="222"/>
        <v>mid-size</v>
      </c>
      <c r="CQ78" s="304">
        <f t="shared" si="223"/>
        <v>4</v>
      </c>
      <c r="CR78" s="303" t="str">
        <f t="shared" si="224"/>
        <v>very low</v>
      </c>
      <c r="CS78" s="304">
        <f t="shared" si="225"/>
        <v>1</v>
      </c>
      <c r="CT78" s="303" t="str">
        <f t="shared" si="226"/>
        <v>none</v>
      </c>
      <c r="CU78" s="304">
        <f t="shared" si="227"/>
        <v>1</v>
      </c>
      <c r="CV78" s="304">
        <f t="shared" si="228"/>
        <v>122</v>
      </c>
      <c r="CW78" s="304" t="str">
        <f t="shared" si="229"/>
        <v>intermediate complexity hydrodynamics</v>
      </c>
      <c r="CX78" s="304">
        <f t="shared" si="271"/>
        <v>118</v>
      </c>
      <c r="CY78" s="304" t="str">
        <f t="shared" si="230"/>
        <v>intermediate complexity water quality</v>
      </c>
      <c r="CZ78" s="216" t="s">
        <v>637</v>
      </c>
      <c r="DA78" s="252" t="str">
        <f t="shared" si="276"/>
        <v>-</v>
      </c>
      <c r="DB78" s="251" t="str">
        <f t="shared" si="259"/>
        <v>intermediate complexity hydrodynamics; intermediate complexity water quality</v>
      </c>
      <c r="DC78" s="227"/>
      <c r="DD78" s="475" t="str">
        <f t="shared" si="260"/>
        <v>Scotts Cove</v>
      </c>
      <c r="DE78" s="475">
        <f t="shared" si="261"/>
        <v>69</v>
      </c>
      <c r="DF78" s="465">
        <f t="shared" si="231"/>
        <v>3.42</v>
      </c>
      <c r="DG78" s="466">
        <f t="shared" si="232"/>
        <v>0.83</v>
      </c>
      <c r="DH78" s="465">
        <f t="shared" si="233"/>
        <v>2.4900000000000002</v>
      </c>
      <c r="DI78" s="465">
        <f t="shared" si="234"/>
        <v>332.6</v>
      </c>
      <c r="DJ78" s="465">
        <f t="shared" si="235"/>
        <v>7</v>
      </c>
      <c r="DK78" s="465">
        <f t="shared" si="236"/>
        <v>1.3</v>
      </c>
      <c r="DL78" s="465">
        <f t="shared" si="237"/>
        <v>1.2</v>
      </c>
      <c r="DM78" s="465">
        <f t="shared" si="238"/>
        <v>4.2</v>
      </c>
      <c r="DN78" s="465">
        <f t="shared" si="239"/>
        <v>37</v>
      </c>
      <c r="DO78" s="465">
        <f t="shared" si="240"/>
        <v>90237</v>
      </c>
      <c r="DP78" s="465">
        <f t="shared" si="241"/>
        <v>1901463</v>
      </c>
      <c r="DQ78" s="467">
        <f t="shared" si="242"/>
        <v>2.29</v>
      </c>
      <c r="DR78" s="467">
        <f t="shared" si="243"/>
        <v>0</v>
      </c>
      <c r="DS78" s="467">
        <f t="shared" si="244"/>
        <v>6079</v>
      </c>
      <c r="DT78" s="467">
        <f t="shared" si="245"/>
        <v>14.8</v>
      </c>
      <c r="DU78" s="467">
        <f t="shared" si="246"/>
        <v>0</v>
      </c>
      <c r="DV78" s="467">
        <f t="shared" si="247"/>
        <v>7.9</v>
      </c>
      <c r="DW78" s="467">
        <f t="shared" si="248"/>
        <v>0</v>
      </c>
      <c r="DX78" s="467">
        <f t="shared" si="249"/>
        <v>87</v>
      </c>
      <c r="DY78" s="467">
        <f t="shared" si="250"/>
        <v>30</v>
      </c>
      <c r="DZ78" s="467">
        <f t="shared" si="251"/>
        <v>22</v>
      </c>
      <c r="EA78" s="467">
        <f t="shared" si="252"/>
        <v>3500</v>
      </c>
      <c r="EB78" s="467">
        <f t="shared" si="253"/>
        <v>42</v>
      </c>
      <c r="EC78" s="467">
        <f t="shared" si="254"/>
        <v>0</v>
      </c>
      <c r="ED78" s="467">
        <f t="shared" si="255"/>
        <v>1.6000000000000001E-3</v>
      </c>
      <c r="EE78" s="467">
        <f t="shared" si="256"/>
        <v>5.25</v>
      </c>
      <c r="EF78" s="138">
        <f t="shared" si="262"/>
        <v>2.15</v>
      </c>
      <c r="EG78" s="138" t="str">
        <f t="shared" si="263"/>
        <v>possible if water clarity improves</v>
      </c>
      <c r="EH78" s="138">
        <f t="shared" si="264"/>
        <v>1.93</v>
      </c>
      <c r="EI78" s="138">
        <f t="shared" si="265"/>
        <v>0.8</v>
      </c>
      <c r="EJ78" s="138">
        <f t="shared" si="266"/>
        <v>0.64</v>
      </c>
    </row>
    <row r="79" spans="1:140" s="275" customFormat="1" ht="44" customHeight="1" x14ac:dyDescent="0.35">
      <c r="A79" s="389">
        <v>70</v>
      </c>
      <c r="B79" s="281" t="s">
        <v>462</v>
      </c>
      <c r="C79" s="257">
        <v>70</v>
      </c>
      <c r="D79" s="256" t="s">
        <v>398</v>
      </c>
      <c r="E79" s="258"/>
      <c r="F79" s="259">
        <v>104162</v>
      </c>
      <c r="G79" s="259">
        <v>1262.106</v>
      </c>
      <c r="H79" s="260">
        <f t="shared" si="267"/>
        <v>82.530310449360044</v>
      </c>
      <c r="I79" s="260">
        <f t="shared" si="279"/>
        <v>15.292636040360208</v>
      </c>
      <c r="J79" s="261">
        <v>0</v>
      </c>
      <c r="K79" s="262">
        <v>0.84997551890324696</v>
      </c>
      <c r="L79" s="262">
        <v>0.85</v>
      </c>
      <c r="M79" s="262">
        <v>1.93979995251</v>
      </c>
      <c r="N79" s="260">
        <f t="shared" si="272"/>
        <v>10416.200000000001</v>
      </c>
      <c r="O79" s="258"/>
      <c r="P79" s="260">
        <f t="shared" si="268"/>
        <v>29662.935023003221</v>
      </c>
      <c r="Q79" s="260">
        <f t="shared" si="275"/>
        <v>29662.935023003221</v>
      </c>
      <c r="R79" s="263">
        <f t="shared" si="189"/>
        <v>2.27959990502</v>
      </c>
      <c r="S79" s="262">
        <v>1.13979995251</v>
      </c>
      <c r="T79" s="260">
        <f t="shared" si="190"/>
        <v>237447.68530669325</v>
      </c>
      <c r="U79" s="259">
        <v>3</v>
      </c>
      <c r="V79" s="264">
        <f t="shared" si="191"/>
        <v>1.0970463427253347</v>
      </c>
      <c r="W79" s="264">
        <f t="shared" si="192"/>
        <v>3.43437027187505</v>
      </c>
      <c r="X79" s="260">
        <f t="shared" si="193"/>
        <v>474895.37061338651</v>
      </c>
      <c r="Y79" s="263">
        <f t="shared" si="194"/>
        <v>4.3867346976013605E-2</v>
      </c>
      <c r="Z79" s="264">
        <f t="shared" si="195"/>
        <v>0.35115203508763959</v>
      </c>
      <c r="AA79" s="264">
        <f t="shared" si="196"/>
        <v>6.2462042922612294E-2</v>
      </c>
      <c r="AB79" s="266">
        <f t="shared" si="197"/>
        <v>5.3409633441398277E-2</v>
      </c>
      <c r="AC79" s="266">
        <f t="shared" si="280"/>
        <v>2.8502447749251734</v>
      </c>
      <c r="AD79" s="266">
        <f t="shared" si="198"/>
        <v>22.795999050199999</v>
      </c>
      <c r="AE79" s="266">
        <f t="shared" si="199"/>
        <v>6.4630863857425239E-2</v>
      </c>
      <c r="AF79" s="258"/>
      <c r="AG79" s="267">
        <v>-73.484285</v>
      </c>
      <c r="AH79" s="263">
        <f>(AG79^2*-0.304-43.623*AG79-1561.6)*0.4012-0.2907</f>
        <v>0.68147235319352184</v>
      </c>
      <c r="AI79" s="263">
        <f t="shared" si="282"/>
        <v>1.7608931519768178</v>
      </c>
      <c r="AJ79" s="263">
        <f>-LN(0.01)/AI79</f>
        <v>2.6152468029182945</v>
      </c>
      <c r="AK79" s="263">
        <f t="shared" si="284"/>
        <v>1.0773623503255334</v>
      </c>
      <c r="AL79" s="263">
        <f t="shared" si="269"/>
        <v>0.85986349082565405</v>
      </c>
      <c r="AM79" s="262">
        <v>1.13979995251</v>
      </c>
      <c r="AN79" s="261">
        <v>0.99997119870970197</v>
      </c>
      <c r="AO79" s="261">
        <v>0.64704018740039604</v>
      </c>
      <c r="AP79" s="261">
        <v>0.52939651696395995</v>
      </c>
      <c r="AQ79" s="481">
        <f t="shared" si="257"/>
        <v>2.1397999525099998</v>
      </c>
      <c r="AR79" s="268" t="str">
        <f t="shared" si="273"/>
        <v>unlikely, too shallow</v>
      </c>
      <c r="AS79" s="258"/>
      <c r="AT79" s="259">
        <v>16979950</v>
      </c>
      <c r="AU79" s="259">
        <v>0</v>
      </c>
      <c r="AV79" s="259">
        <v>0</v>
      </c>
      <c r="AW79" s="259">
        <v>2648.123566077441</v>
      </c>
      <c r="AX79" s="259">
        <v>5024.2374319151686</v>
      </c>
      <c r="AY79" s="259">
        <v>2059.5970681635799</v>
      </c>
      <c r="AZ79" s="259">
        <v>104.16200000000001</v>
      </c>
      <c r="BA79" s="269"/>
      <c r="BB79" s="259">
        <v>9836.1200661561888</v>
      </c>
      <c r="BC79" s="260">
        <f t="shared" si="274"/>
        <v>9836.1200661561888</v>
      </c>
      <c r="BD79" s="260">
        <f t="shared" si="200"/>
        <v>944.30983143144226</v>
      </c>
      <c r="BE79" s="260">
        <f t="shared" si="277"/>
        <v>9836.1200661561888</v>
      </c>
      <c r="BF79" s="260">
        <f>BD79</f>
        <v>944.30983143144226</v>
      </c>
      <c r="BG79" s="270">
        <f t="shared" si="278"/>
        <v>0</v>
      </c>
      <c r="BH79" s="258"/>
      <c r="BI79" s="262">
        <f t="shared" si="258"/>
        <v>1.4795574999999999</v>
      </c>
      <c r="BJ79" s="259">
        <v>5918.23</v>
      </c>
      <c r="BK79" s="262">
        <v>0</v>
      </c>
      <c r="BL79" s="259">
        <f t="shared" si="281"/>
        <v>0</v>
      </c>
      <c r="BM79" s="259"/>
      <c r="BN79" s="258"/>
      <c r="BO79" s="260">
        <f t="shared" si="201"/>
        <v>10.4162</v>
      </c>
      <c r="BP79" s="260">
        <f t="shared" si="202"/>
        <v>15.292636040360208</v>
      </c>
      <c r="BQ79" s="263">
        <f t="shared" si="214"/>
        <v>1.93979995251</v>
      </c>
      <c r="BR79" s="260">
        <f t="shared" si="203"/>
        <v>3</v>
      </c>
      <c r="BS79" s="265">
        <f t="shared" si="204"/>
        <v>6.2462042922612294E-2</v>
      </c>
      <c r="BT79" s="263">
        <f t="shared" si="205"/>
        <v>2.8502447749251734</v>
      </c>
      <c r="BU79" s="260">
        <f t="shared" si="206"/>
        <v>0</v>
      </c>
      <c r="BV79" s="258"/>
      <c r="BW79" s="138"/>
      <c r="BX79" s="138"/>
      <c r="BY79" s="138"/>
      <c r="BZ79" s="138"/>
      <c r="CA79" s="138"/>
      <c r="CB79" s="138"/>
      <c r="CC79" s="138"/>
      <c r="CD79" s="138"/>
      <c r="CE79" s="138"/>
      <c r="CF79" s="138"/>
      <c r="CG79" s="138"/>
      <c r="CI79" s="258"/>
      <c r="CJ79" s="312" t="str">
        <f t="shared" si="216"/>
        <v>complex hydrodynamics</v>
      </c>
      <c r="CK79" s="313">
        <f t="shared" si="217"/>
        <v>3</v>
      </c>
      <c r="CL79" s="312" t="str">
        <f t="shared" si="218"/>
        <v>intermediate or complex water quality</v>
      </c>
      <c r="CM79" s="313">
        <f t="shared" si="219"/>
        <v>3</v>
      </c>
      <c r="CN79" s="312" t="str">
        <f t="shared" si="220"/>
        <v>shallow</v>
      </c>
      <c r="CO79" s="313">
        <f t="shared" si="221"/>
        <v>1</v>
      </c>
      <c r="CP79" s="312" t="str">
        <f t="shared" si="222"/>
        <v>very small</v>
      </c>
      <c r="CQ79" s="313">
        <f t="shared" si="223"/>
        <v>2</v>
      </c>
      <c r="CR79" s="312" t="str">
        <f t="shared" si="224"/>
        <v>low</v>
      </c>
      <c r="CS79" s="313">
        <f t="shared" si="225"/>
        <v>2</v>
      </c>
      <c r="CT79" s="312" t="str">
        <f t="shared" si="226"/>
        <v>mouth</v>
      </c>
      <c r="CU79" s="313">
        <f t="shared" si="227"/>
        <v>4</v>
      </c>
      <c r="CV79" s="313">
        <f t="shared" si="228"/>
        <v>126</v>
      </c>
      <c r="CW79" s="313" t="str">
        <f t="shared" si="229"/>
        <v>intermediate complexity hydrodynamics</v>
      </c>
      <c r="CX79" s="313">
        <f t="shared" si="271"/>
        <v>79</v>
      </c>
      <c r="CY79" s="313" t="str">
        <f t="shared" si="230"/>
        <v>intermediate complexity water quality</v>
      </c>
      <c r="CZ79" s="273" t="s">
        <v>648</v>
      </c>
      <c r="DA79" s="272" t="str">
        <f t="shared" si="276"/>
        <v>-</v>
      </c>
      <c r="DB79" s="271" t="str">
        <f t="shared" si="259"/>
        <v>intermediate complexity hydrodynamics; intermediate complexity water quality</v>
      </c>
      <c r="DC79" s="274"/>
      <c r="DD79" s="475" t="str">
        <f t="shared" si="260"/>
        <v>Gorham Pond</v>
      </c>
      <c r="DE79" s="475">
        <f t="shared" si="261"/>
        <v>70</v>
      </c>
      <c r="DF79" s="475">
        <f t="shared" si="231"/>
        <v>16.98</v>
      </c>
      <c r="DG79" s="476">
        <f t="shared" si="232"/>
        <v>0.1</v>
      </c>
      <c r="DH79" s="475">
        <f t="shared" si="233"/>
        <v>1.26</v>
      </c>
      <c r="DI79" s="475">
        <f t="shared" si="234"/>
        <v>82.5</v>
      </c>
      <c r="DJ79" s="475">
        <f t="shared" si="235"/>
        <v>15</v>
      </c>
      <c r="DK79" s="475">
        <f t="shared" si="236"/>
        <v>0.8</v>
      </c>
      <c r="DL79" s="475">
        <f t="shared" si="237"/>
        <v>0.9</v>
      </c>
      <c r="DM79" s="475">
        <f t="shared" si="238"/>
        <v>1.9</v>
      </c>
      <c r="DN79" s="475">
        <f t="shared" si="239"/>
        <v>0</v>
      </c>
      <c r="DO79" s="475">
        <f t="shared" si="240"/>
        <v>10416</v>
      </c>
      <c r="DP79" s="475">
        <f t="shared" si="241"/>
        <v>237448</v>
      </c>
      <c r="DQ79" s="464">
        <f t="shared" si="242"/>
        <v>2.2799999999999998</v>
      </c>
      <c r="DR79" s="464">
        <f t="shared" si="243"/>
        <v>3</v>
      </c>
      <c r="DS79" s="464">
        <f t="shared" si="244"/>
        <v>29663</v>
      </c>
      <c r="DT79" s="464">
        <f t="shared" si="245"/>
        <v>0.4</v>
      </c>
      <c r="DU79" s="464">
        <f t="shared" si="246"/>
        <v>0</v>
      </c>
      <c r="DV79" s="464">
        <f t="shared" si="247"/>
        <v>1.48</v>
      </c>
      <c r="DW79" s="464">
        <f t="shared" si="248"/>
        <v>0</v>
      </c>
      <c r="DX79" s="464">
        <f t="shared" si="249"/>
        <v>100</v>
      </c>
      <c r="DY79" s="464">
        <f t="shared" si="250"/>
        <v>65</v>
      </c>
      <c r="DZ79" s="464">
        <f t="shared" si="251"/>
        <v>53</v>
      </c>
      <c r="EA79" s="464">
        <f t="shared" si="252"/>
        <v>9836</v>
      </c>
      <c r="EB79" s="464">
        <f t="shared" si="253"/>
        <v>944</v>
      </c>
      <c r="EC79" s="464">
        <f t="shared" si="254"/>
        <v>0</v>
      </c>
      <c r="ED79" s="464">
        <f t="shared" si="255"/>
        <v>6.2460000000000002E-2</v>
      </c>
      <c r="EE79" s="464">
        <f t="shared" si="256"/>
        <v>2.85</v>
      </c>
      <c r="EF79" s="275">
        <f t="shared" si="262"/>
        <v>2.14</v>
      </c>
      <c r="EG79" s="275" t="str">
        <f t="shared" si="263"/>
        <v>unlikely, too shallow</v>
      </c>
      <c r="EH79" s="275">
        <f t="shared" si="264"/>
        <v>2.62</v>
      </c>
      <c r="EI79" s="275">
        <f t="shared" si="265"/>
        <v>1.08</v>
      </c>
      <c r="EJ79" s="275">
        <f t="shared" si="266"/>
        <v>0.86</v>
      </c>
    </row>
    <row r="80" spans="1:140" s="275" customFormat="1" ht="44" customHeight="1" x14ac:dyDescent="0.35">
      <c r="A80" s="389">
        <v>71</v>
      </c>
      <c r="B80" s="281" t="s">
        <v>463</v>
      </c>
      <c r="C80" s="257">
        <v>71</v>
      </c>
      <c r="D80" s="256" t="s">
        <v>399</v>
      </c>
      <c r="E80" s="258"/>
      <c r="F80" s="259">
        <v>628462</v>
      </c>
      <c r="G80" s="259">
        <v>2069.8580000000002</v>
      </c>
      <c r="H80" s="260">
        <f t="shared" si="267"/>
        <v>303.62565934474731</v>
      </c>
      <c r="I80" s="260">
        <f t="shared" si="279"/>
        <v>6.8171379338193887</v>
      </c>
      <c r="J80" s="261">
        <v>0.64300625972612502</v>
      </c>
      <c r="K80" s="262">
        <v>1.8940282911213999</v>
      </c>
      <c r="L80" s="262">
        <v>1.55</v>
      </c>
      <c r="M80" s="262">
        <v>4.38</v>
      </c>
      <c r="N80" s="260">
        <f t="shared" si="272"/>
        <v>513157.01188802841</v>
      </c>
      <c r="O80" s="258"/>
      <c r="P80" s="260">
        <f t="shared" si="268"/>
        <v>2106.589852417017</v>
      </c>
      <c r="Q80" s="453">
        <f>P80+P79</f>
        <v>31769.52487542024</v>
      </c>
      <c r="R80" s="263">
        <f t="shared" si="189"/>
        <v>2.1549999713800001</v>
      </c>
      <c r="S80" s="262">
        <v>1.0774999856900001</v>
      </c>
      <c r="T80" s="260">
        <f t="shared" si="190"/>
        <v>1354335.5920134175</v>
      </c>
      <c r="U80" s="259">
        <v>0</v>
      </c>
      <c r="V80" s="264">
        <f t="shared" si="191"/>
        <v>1.7708581639224148</v>
      </c>
      <c r="W80" s="264">
        <f t="shared" si="192"/>
        <v>5.5509038477807833</v>
      </c>
      <c r="X80" s="260">
        <f t="shared" si="193"/>
        <v>2708671.184026835</v>
      </c>
      <c r="Y80" s="263">
        <f t="shared" si="194"/>
        <v>0.37889945070788961</v>
      </c>
      <c r="Z80" s="264">
        <f t="shared" si="195"/>
        <v>16.152492487700147</v>
      </c>
      <c r="AA80" s="264">
        <f t="shared" si="196"/>
        <v>1.1728822997330449E-2</v>
      </c>
      <c r="AB80" s="266">
        <f t="shared" si="197"/>
        <v>1.1799489445552327E-2</v>
      </c>
      <c r="AC80" s="266">
        <f t="shared" si="280"/>
        <v>3.3534167489889262</v>
      </c>
      <c r="AD80" s="266">
        <f t="shared" si="198"/>
        <v>2.6392226173242577</v>
      </c>
      <c r="AE80" s="266">
        <f t="shared" si="199"/>
        <v>1.2136073795848867E-2</v>
      </c>
      <c r="AF80" s="258"/>
      <c r="AG80" s="267">
        <v>-73.484285</v>
      </c>
      <c r="AH80" s="277">
        <v>0.51282239372729643</v>
      </c>
      <c r="AI80" s="277">
        <f t="shared" si="282"/>
        <v>2.3399914174538252</v>
      </c>
      <c r="AJ80" s="277">
        <f t="shared" si="283"/>
        <v>1.968028665249993</v>
      </c>
      <c r="AK80" s="277">
        <f t="shared" si="284"/>
        <v>0.81073800986422506</v>
      </c>
      <c r="AL80" s="277">
        <f t="shared" si="269"/>
        <v>0.64706550688007114</v>
      </c>
      <c r="AM80" s="278">
        <v>1.0774999856900001</v>
      </c>
      <c r="AN80" s="261">
        <v>0.56003561911962496</v>
      </c>
      <c r="AO80" s="261">
        <v>0.16799106389885199</v>
      </c>
      <c r="AP80" s="261">
        <v>0.12599329792413899</v>
      </c>
      <c r="AQ80" s="481">
        <f t="shared" si="257"/>
        <v>2.0774999856900003</v>
      </c>
      <c r="AR80" s="268" t="str">
        <f t="shared" si="273"/>
        <v>possible if water clarity improves</v>
      </c>
      <c r="AS80" s="258"/>
      <c r="AT80" s="259">
        <v>1174086</v>
      </c>
      <c r="AU80" s="259">
        <v>0</v>
      </c>
      <c r="AV80" s="259">
        <v>0</v>
      </c>
      <c r="AW80" s="259">
        <v>573.33327936652108</v>
      </c>
      <c r="AX80" s="259">
        <v>579.10248329365493</v>
      </c>
      <c r="AY80" s="259">
        <v>185.54961679538161</v>
      </c>
      <c r="AZ80" s="259">
        <v>628.46199999999999</v>
      </c>
      <c r="BA80" s="269"/>
      <c r="BB80" s="259">
        <v>1966.4473794555577</v>
      </c>
      <c r="BC80" s="260">
        <f t="shared" si="274"/>
        <v>1966.4473794555577</v>
      </c>
      <c r="BD80" s="260">
        <f t="shared" si="200"/>
        <v>31.289837403941011</v>
      </c>
      <c r="BE80" s="453">
        <f>(BC80+BC79)</f>
        <v>11802.567445611747</v>
      </c>
      <c r="BF80" s="453">
        <f>(BC80+BC79)/SUM(F79:F80)*10000</f>
        <v>161.09992909885216</v>
      </c>
      <c r="BG80" s="280">
        <f>(AV80+AV79)/BE80*100</f>
        <v>0</v>
      </c>
      <c r="BH80" s="258"/>
      <c r="BI80" s="262">
        <f t="shared" si="258"/>
        <v>0</v>
      </c>
      <c r="BJ80" s="259">
        <v>0</v>
      </c>
      <c r="BK80" s="262">
        <v>0</v>
      </c>
      <c r="BL80" s="259">
        <f t="shared" si="281"/>
        <v>0</v>
      </c>
      <c r="BM80" s="259"/>
      <c r="BN80" s="258"/>
      <c r="BO80" s="260">
        <f t="shared" si="201"/>
        <v>62.846200000000003</v>
      </c>
      <c r="BP80" s="260">
        <f t="shared" si="202"/>
        <v>6.8171379338193887</v>
      </c>
      <c r="BQ80" s="263">
        <f t="shared" si="214"/>
        <v>4.38</v>
      </c>
      <c r="BR80" s="260">
        <f t="shared" si="203"/>
        <v>0</v>
      </c>
      <c r="BS80" s="265">
        <f t="shared" si="204"/>
        <v>1.1728822997330449E-2</v>
      </c>
      <c r="BT80" s="263">
        <f t="shared" si="205"/>
        <v>3.3534167489889262</v>
      </c>
      <c r="BU80" s="260">
        <f t="shared" si="206"/>
        <v>0</v>
      </c>
      <c r="BV80" s="258"/>
      <c r="BW80" s="138"/>
      <c r="BX80" s="138"/>
      <c r="BY80" s="138"/>
      <c r="BZ80" s="138"/>
      <c r="CA80" s="138"/>
      <c r="CB80" s="138"/>
      <c r="CC80" s="138"/>
      <c r="CD80" s="138"/>
      <c r="CE80" s="138"/>
      <c r="CF80" s="138"/>
      <c r="CG80" s="138"/>
      <c r="CH80" s="138"/>
      <c r="CI80" s="258"/>
      <c r="CJ80" s="312" t="str">
        <f t="shared" si="216"/>
        <v>intermediate complexity hydrodynamics</v>
      </c>
      <c r="CK80" s="313">
        <f t="shared" si="217"/>
        <v>2</v>
      </c>
      <c r="CL80" s="312" t="str">
        <f t="shared" si="218"/>
        <v>intermediate or complex water quality</v>
      </c>
      <c r="CM80" s="313">
        <f t="shared" si="219"/>
        <v>3</v>
      </c>
      <c r="CN80" s="312" t="str">
        <f t="shared" si="220"/>
        <v>moderate</v>
      </c>
      <c r="CO80" s="313">
        <f t="shared" si="221"/>
        <v>2</v>
      </c>
      <c r="CP80" s="312" t="str">
        <f t="shared" si="222"/>
        <v>mid-size</v>
      </c>
      <c r="CQ80" s="313">
        <f t="shared" si="223"/>
        <v>4</v>
      </c>
      <c r="CR80" s="312" t="str">
        <f t="shared" si="224"/>
        <v>very low</v>
      </c>
      <c r="CS80" s="313">
        <f t="shared" si="225"/>
        <v>1</v>
      </c>
      <c r="CT80" s="312" t="str">
        <f t="shared" si="226"/>
        <v>none</v>
      </c>
      <c r="CU80" s="313">
        <f t="shared" si="227"/>
        <v>1</v>
      </c>
      <c r="CV80" s="313">
        <f t="shared" si="228"/>
        <v>132</v>
      </c>
      <c r="CW80" s="313" t="str">
        <f t="shared" si="229"/>
        <v>intermediate complexity hydrodynamics</v>
      </c>
      <c r="CX80" s="313">
        <f t="shared" si="271"/>
        <v>103</v>
      </c>
      <c r="CY80" s="313" t="str">
        <f t="shared" si="230"/>
        <v>intermediate complexity water quality</v>
      </c>
      <c r="CZ80" s="273" t="s">
        <v>402</v>
      </c>
      <c r="DA80" s="272" t="str">
        <f t="shared" si="276"/>
        <v>-</v>
      </c>
      <c r="DB80" s="271" t="str">
        <f t="shared" si="259"/>
        <v>intermediate complexity hydrodynamics; intermediate complexity water quality</v>
      </c>
      <c r="DC80" s="274"/>
      <c r="DD80" s="475" t="str">
        <f t="shared" si="260"/>
        <v>Darien River</v>
      </c>
      <c r="DE80" s="475">
        <f t="shared" si="261"/>
        <v>71</v>
      </c>
      <c r="DF80" s="475">
        <f t="shared" si="231"/>
        <v>1.17</v>
      </c>
      <c r="DG80" s="476">
        <f t="shared" si="232"/>
        <v>0.63</v>
      </c>
      <c r="DH80" s="475">
        <f t="shared" si="233"/>
        <v>2.0699999999999998</v>
      </c>
      <c r="DI80" s="475">
        <f t="shared" si="234"/>
        <v>303.60000000000002</v>
      </c>
      <c r="DJ80" s="475">
        <f t="shared" si="235"/>
        <v>7</v>
      </c>
      <c r="DK80" s="475">
        <f t="shared" si="236"/>
        <v>1.9</v>
      </c>
      <c r="DL80" s="475">
        <f t="shared" si="237"/>
        <v>1.6</v>
      </c>
      <c r="DM80" s="475">
        <f t="shared" si="238"/>
        <v>4.4000000000000004</v>
      </c>
      <c r="DN80" s="475">
        <f t="shared" si="239"/>
        <v>64</v>
      </c>
      <c r="DO80" s="475">
        <f t="shared" si="240"/>
        <v>513157</v>
      </c>
      <c r="DP80" s="475">
        <f t="shared" si="241"/>
        <v>1354336</v>
      </c>
      <c r="DQ80" s="464">
        <f t="shared" si="242"/>
        <v>2.15</v>
      </c>
      <c r="DR80" s="464">
        <f t="shared" si="243"/>
        <v>0</v>
      </c>
      <c r="DS80" s="464">
        <f t="shared" si="244"/>
        <v>31770</v>
      </c>
      <c r="DT80" s="464">
        <f t="shared" si="245"/>
        <v>16.2</v>
      </c>
      <c r="DU80" s="464">
        <f t="shared" si="246"/>
        <v>0.4</v>
      </c>
      <c r="DV80" s="464">
        <f t="shared" si="247"/>
        <v>0</v>
      </c>
      <c r="DW80" s="464">
        <f t="shared" si="248"/>
        <v>0</v>
      </c>
      <c r="DX80" s="464">
        <f t="shared" si="249"/>
        <v>56</v>
      </c>
      <c r="DY80" s="464">
        <f t="shared" si="250"/>
        <v>17</v>
      </c>
      <c r="DZ80" s="464">
        <f t="shared" si="251"/>
        <v>13</v>
      </c>
      <c r="EA80" s="464">
        <f t="shared" si="252"/>
        <v>11803</v>
      </c>
      <c r="EB80" s="464">
        <f t="shared" si="253"/>
        <v>161</v>
      </c>
      <c r="EC80" s="464">
        <f t="shared" si="254"/>
        <v>0</v>
      </c>
      <c r="ED80" s="464">
        <f t="shared" si="255"/>
        <v>1.1730000000000001E-2</v>
      </c>
      <c r="EE80" s="464">
        <f t="shared" si="256"/>
        <v>3.35</v>
      </c>
      <c r="EF80" s="275">
        <f t="shared" si="262"/>
        <v>2.08</v>
      </c>
      <c r="EG80" s="275" t="str">
        <f t="shared" si="263"/>
        <v>possible if water clarity improves</v>
      </c>
      <c r="EH80" s="275">
        <f t="shared" si="264"/>
        <v>1.97</v>
      </c>
      <c r="EI80" s="275">
        <f t="shared" si="265"/>
        <v>0.81</v>
      </c>
      <c r="EJ80" s="275">
        <f t="shared" si="266"/>
        <v>0.65</v>
      </c>
    </row>
    <row r="81" spans="1:140" ht="44" customHeight="1" x14ac:dyDescent="0.35">
      <c r="A81" s="388">
        <v>71.5</v>
      </c>
      <c r="B81" s="215" t="s">
        <v>478</v>
      </c>
      <c r="C81" s="210" t="s">
        <v>482</v>
      </c>
      <c r="D81" s="196"/>
      <c r="E81" s="221"/>
      <c r="F81" s="197">
        <f>F79+F80</f>
        <v>732624</v>
      </c>
      <c r="G81" s="197">
        <f>G79+G80</f>
        <v>3331.9639999999999</v>
      </c>
      <c r="H81" s="241">
        <f t="shared" si="267"/>
        <v>219.87752568755246</v>
      </c>
      <c r="I81" s="241">
        <f t="shared" si="279"/>
        <v>15.153727010439187</v>
      </c>
      <c r="J81" s="452">
        <f>SUM(J79*($F79/$F81),J80*($F80/$F81))</f>
        <v>0.55158580663478129</v>
      </c>
      <c r="K81" s="242">
        <f>SUM(K79*($F79/$F81),K80*($F80/$F81))</f>
        <v>1.7455884026386486</v>
      </c>
      <c r="L81" s="242">
        <f>SUM(L79*($F79/$F81),L80*($F80/$F81))</f>
        <v>1.450476369870493</v>
      </c>
      <c r="M81" s="242">
        <f>MAX(M78:M80)</f>
        <v>4.38</v>
      </c>
      <c r="N81" s="241">
        <f>N80+N79</f>
        <v>523573.21188802843</v>
      </c>
      <c r="O81" s="221"/>
      <c r="P81" s="241"/>
      <c r="Q81" s="457">
        <f>Q80</f>
        <v>31769.52487542024</v>
      </c>
      <c r="R81" s="242">
        <f t="shared" si="189"/>
        <v>2.1549999713800001</v>
      </c>
      <c r="S81" s="213">
        <f>S80</f>
        <v>1.0774999856900001</v>
      </c>
      <c r="T81" s="241">
        <f t="shared" si="190"/>
        <v>1578804.6990323011</v>
      </c>
      <c r="U81" s="197">
        <v>2</v>
      </c>
      <c r="V81" s="243">
        <f t="shared" si="191"/>
        <v>2.6262593380600605</v>
      </c>
      <c r="W81" s="243">
        <f t="shared" si="192"/>
        <v>8.2668695643951331</v>
      </c>
      <c r="X81" s="241">
        <f t="shared" si="193"/>
        <v>3157609.3980646022</v>
      </c>
      <c r="Y81" s="242">
        <f t="shared" si="194"/>
        <v>0.33162633238230343</v>
      </c>
      <c r="Z81" s="243">
        <f t="shared" si="195"/>
        <v>16.480360154618229</v>
      </c>
      <c r="AA81" s="243">
        <f t="shared" si="196"/>
        <v>1.0061258651843631E-2</v>
      </c>
      <c r="AB81" s="245">
        <f t="shared" si="197"/>
        <v>1.0138588735341118E-2</v>
      </c>
      <c r="AC81" s="245">
        <f t="shared" si="280"/>
        <v>3.3589530846896305</v>
      </c>
      <c r="AD81" s="245">
        <f t="shared" si="198"/>
        <v>3.0154420875335863</v>
      </c>
      <c r="AE81" s="245">
        <f t="shared" si="199"/>
        <v>1.0410607910588203E-2</v>
      </c>
      <c r="AF81" s="221"/>
      <c r="AG81" s="211">
        <f>AG80</f>
        <v>-73.484285</v>
      </c>
      <c r="AH81" s="242">
        <f>AH80</f>
        <v>0.51282239372729643</v>
      </c>
      <c r="AI81" s="242">
        <f t="shared" si="282"/>
        <v>2.3399914174538252</v>
      </c>
      <c r="AJ81" s="242">
        <f t="shared" si="283"/>
        <v>1.968028665249993</v>
      </c>
      <c r="AK81" s="242">
        <f t="shared" si="284"/>
        <v>0.81073800986422506</v>
      </c>
      <c r="AL81" s="242">
        <f t="shared" si="269"/>
        <v>0.64706550688007114</v>
      </c>
      <c r="AM81" s="242">
        <f>SUM(AM79*($F79/$F81),AM80*($F80/$F81))</f>
        <v>1.0863575840541062</v>
      </c>
      <c r="AN81" s="452">
        <f>SUM(AN79*($F79/$F81),AN80*($F80/$F81))</f>
        <v>0.62258417041095804</v>
      </c>
      <c r="AO81" s="452">
        <f>SUM(AO79*($F79/$F81),AO80*($F80/$F81))</f>
        <v>0.23610064644346945</v>
      </c>
      <c r="AP81" s="452">
        <f>SUM(AP79*($F79/$F81),AP80*($F80/$F81))</f>
        <v>0.1833478018738128</v>
      </c>
      <c r="AQ81" s="483">
        <f t="shared" si="257"/>
        <v>2.0774999856900003</v>
      </c>
      <c r="AR81" s="247" t="str">
        <f t="shared" si="273"/>
        <v>possible if water clarity improves</v>
      </c>
      <c r="AS81" s="221"/>
      <c r="AT81" s="241">
        <f>AT80+AT79</f>
        <v>18154036</v>
      </c>
      <c r="AU81" s="241">
        <f t="shared" ref="AU81:AZ81" si="285">AU80+AU79</f>
        <v>0</v>
      </c>
      <c r="AV81" s="241">
        <f t="shared" si="285"/>
        <v>0</v>
      </c>
      <c r="AW81" s="241">
        <f>AW80+AW79</f>
        <v>3221.4568454439623</v>
      </c>
      <c r="AX81" s="241">
        <f t="shared" si="285"/>
        <v>5603.3399152088232</v>
      </c>
      <c r="AY81" s="241">
        <f t="shared" si="285"/>
        <v>2245.1466849589615</v>
      </c>
      <c r="AZ81" s="241">
        <f t="shared" si="285"/>
        <v>732.62400000000002</v>
      </c>
      <c r="BA81" s="214"/>
      <c r="BB81" s="241">
        <f>BB80+BB79</f>
        <v>11802.567445611747</v>
      </c>
      <c r="BC81" s="241">
        <f>BC80+BC79</f>
        <v>11802.567445611747</v>
      </c>
      <c r="BD81" s="241">
        <f t="shared" si="200"/>
        <v>161.09992909885216</v>
      </c>
      <c r="BE81" s="457">
        <f>BC81</f>
        <v>11802.567445611747</v>
      </c>
      <c r="BF81" s="457">
        <f>BD81</f>
        <v>161.09992909885216</v>
      </c>
      <c r="BG81" s="248">
        <f>AV81/BE81*100</f>
        <v>0</v>
      </c>
      <c r="BH81" s="221"/>
      <c r="BI81" s="242">
        <f t="shared" si="258"/>
        <v>1.4795574999999999</v>
      </c>
      <c r="BJ81" s="241">
        <f>BJ80+BJ79</f>
        <v>5918.23</v>
      </c>
      <c r="BK81" s="242">
        <f>BK80+BK79</f>
        <v>0</v>
      </c>
      <c r="BL81" s="241">
        <f>BL80+BL79</f>
        <v>0</v>
      </c>
      <c r="BM81" s="197"/>
      <c r="BN81" s="221"/>
      <c r="BO81" s="241">
        <f t="shared" si="201"/>
        <v>73.2624</v>
      </c>
      <c r="BP81" s="241">
        <f t="shared" si="202"/>
        <v>15.153727010439187</v>
      </c>
      <c r="BQ81" s="242">
        <f t="shared" si="214"/>
        <v>4.38</v>
      </c>
      <c r="BR81" s="241">
        <f t="shared" si="203"/>
        <v>2</v>
      </c>
      <c r="BS81" s="244">
        <f t="shared" si="204"/>
        <v>1.0061258651843631E-2</v>
      </c>
      <c r="BT81" s="242">
        <f t="shared" si="205"/>
        <v>3.3589530846896305</v>
      </c>
      <c r="BU81" s="241">
        <f t="shared" si="206"/>
        <v>0</v>
      </c>
      <c r="BV81" s="221"/>
      <c r="CI81" s="221"/>
      <c r="CJ81" s="303" t="str">
        <f t="shared" si="216"/>
        <v>intermediate complexity hydrodynamics</v>
      </c>
      <c r="CK81" s="304">
        <f t="shared" si="217"/>
        <v>2</v>
      </c>
      <c r="CL81" s="303" t="str">
        <f t="shared" si="218"/>
        <v>intermediate or complex water quality</v>
      </c>
      <c r="CM81" s="304">
        <f t="shared" si="219"/>
        <v>3</v>
      </c>
      <c r="CN81" s="303" t="str">
        <f t="shared" si="220"/>
        <v>moderate</v>
      </c>
      <c r="CO81" s="304">
        <f t="shared" si="221"/>
        <v>2</v>
      </c>
      <c r="CP81" s="303" t="str">
        <f t="shared" si="222"/>
        <v>mid-size</v>
      </c>
      <c r="CQ81" s="304">
        <f t="shared" si="223"/>
        <v>4</v>
      </c>
      <c r="CR81" s="303" t="str">
        <f t="shared" si="224"/>
        <v>low</v>
      </c>
      <c r="CS81" s="304">
        <f t="shared" si="225"/>
        <v>2</v>
      </c>
      <c r="CT81" s="303" t="str">
        <f t="shared" si="226"/>
        <v>mid-estuary</v>
      </c>
      <c r="CU81" s="304">
        <f t="shared" si="227"/>
        <v>3</v>
      </c>
      <c r="CV81" s="304">
        <f t="shared" si="228"/>
        <v>135</v>
      </c>
      <c r="CW81" s="304" t="str">
        <f t="shared" si="229"/>
        <v>intermediate complexity hydrodynamics</v>
      </c>
      <c r="CX81" s="304">
        <f t="shared" si="271"/>
        <v>106</v>
      </c>
      <c r="CY81" s="304" t="str">
        <f t="shared" si="230"/>
        <v>intermediate complexity water quality</v>
      </c>
      <c r="CZ81" s="216" t="s">
        <v>402</v>
      </c>
      <c r="DA81" s="252" t="str">
        <f t="shared" si="276"/>
        <v>-</v>
      </c>
      <c r="DB81" s="251" t="str">
        <f t="shared" si="259"/>
        <v>intermediate complexity hydrodynamics; intermediate complexity water quality</v>
      </c>
      <c r="DC81" s="227"/>
      <c r="DD81" s="475" t="str">
        <f t="shared" si="260"/>
        <v>Gorham Pond + Darien River</v>
      </c>
      <c r="DE81" s="475" t="str">
        <f t="shared" si="261"/>
        <v>70-71</v>
      </c>
      <c r="DF81" s="477">
        <f t="shared" si="231"/>
        <v>18.149999999999999</v>
      </c>
      <c r="DG81" s="478">
        <f t="shared" si="232"/>
        <v>0.73</v>
      </c>
      <c r="DH81" s="477">
        <f t="shared" si="233"/>
        <v>3.33</v>
      </c>
      <c r="DI81" s="477">
        <f t="shared" si="234"/>
        <v>219.9</v>
      </c>
      <c r="DJ81" s="477">
        <f t="shared" si="235"/>
        <v>15</v>
      </c>
      <c r="DK81" s="477">
        <f t="shared" si="236"/>
        <v>1.7</v>
      </c>
      <c r="DL81" s="477">
        <f t="shared" si="237"/>
        <v>1.5</v>
      </c>
      <c r="DM81" s="477">
        <f t="shared" si="238"/>
        <v>4.4000000000000004</v>
      </c>
      <c r="DN81" s="477">
        <f t="shared" si="239"/>
        <v>55</v>
      </c>
      <c r="DO81" s="477">
        <f t="shared" si="240"/>
        <v>523573</v>
      </c>
      <c r="DP81" s="477">
        <f t="shared" si="241"/>
        <v>1578805</v>
      </c>
      <c r="DQ81" s="467">
        <f t="shared" si="242"/>
        <v>2.15</v>
      </c>
      <c r="DR81" s="467">
        <f t="shared" si="243"/>
        <v>2</v>
      </c>
      <c r="DS81" s="467">
        <f t="shared" si="244"/>
        <v>31770</v>
      </c>
      <c r="DT81" s="467">
        <f t="shared" si="245"/>
        <v>16.5</v>
      </c>
      <c r="DU81" s="467">
        <f t="shared" si="246"/>
        <v>0.3</v>
      </c>
      <c r="DV81" s="467">
        <f t="shared" si="247"/>
        <v>1.48</v>
      </c>
      <c r="DW81" s="467">
        <f t="shared" si="248"/>
        <v>0</v>
      </c>
      <c r="DX81" s="467">
        <f t="shared" si="249"/>
        <v>62</v>
      </c>
      <c r="DY81" s="467">
        <f t="shared" si="250"/>
        <v>24</v>
      </c>
      <c r="DZ81" s="467">
        <f t="shared" si="251"/>
        <v>18</v>
      </c>
      <c r="EA81" s="467">
        <f t="shared" si="252"/>
        <v>11803</v>
      </c>
      <c r="EB81" s="467">
        <f t="shared" si="253"/>
        <v>161</v>
      </c>
      <c r="EC81" s="467">
        <f t="shared" si="254"/>
        <v>0</v>
      </c>
      <c r="ED81" s="467">
        <f t="shared" si="255"/>
        <v>1.0059999999999999E-2</v>
      </c>
      <c r="EE81" s="467">
        <f t="shared" si="256"/>
        <v>3.36</v>
      </c>
      <c r="EF81" s="138">
        <f t="shared" si="262"/>
        <v>2.08</v>
      </c>
      <c r="EG81" s="138" t="str">
        <f t="shared" si="263"/>
        <v>possible if water clarity improves</v>
      </c>
      <c r="EH81" s="138">
        <f t="shared" si="264"/>
        <v>1.97</v>
      </c>
      <c r="EI81" s="138">
        <f t="shared" si="265"/>
        <v>0.81</v>
      </c>
      <c r="EJ81" s="138">
        <f t="shared" si="266"/>
        <v>0.65</v>
      </c>
    </row>
    <row r="82" spans="1:140" s="275" customFormat="1" ht="44" customHeight="1" x14ac:dyDescent="0.35">
      <c r="A82" s="389">
        <v>72</v>
      </c>
      <c r="B82" s="281" t="s">
        <v>464</v>
      </c>
      <c r="C82" s="257">
        <v>72</v>
      </c>
      <c r="D82" s="256" t="s">
        <v>398</v>
      </c>
      <c r="E82" s="258"/>
      <c r="F82" s="259">
        <v>790810</v>
      </c>
      <c r="G82" s="259">
        <v>1661.8340000000001</v>
      </c>
      <c r="H82" s="260">
        <f t="shared" si="267"/>
        <v>475.86582053321808</v>
      </c>
      <c r="I82" s="260">
        <f t="shared" si="279"/>
        <v>3.4922323232584316</v>
      </c>
      <c r="J82" s="261">
        <v>0</v>
      </c>
      <c r="K82" s="262">
        <v>0.90000227614724104</v>
      </c>
      <c r="L82" s="262">
        <v>0.85</v>
      </c>
      <c r="M82" s="262">
        <v>1.96779994965</v>
      </c>
      <c r="N82" s="260">
        <f>F82*MAX(0.1,(K82-S82))</f>
        <v>79081</v>
      </c>
      <c r="O82" s="258"/>
      <c r="P82" s="260">
        <f t="shared" si="268"/>
        <v>53771.3199837469</v>
      </c>
      <c r="Q82" s="260">
        <f>P82</f>
        <v>53771.3199837469</v>
      </c>
      <c r="R82" s="263">
        <f t="shared" si="189"/>
        <v>2.3355998993</v>
      </c>
      <c r="S82" s="262">
        <v>1.16779994965</v>
      </c>
      <c r="T82" s="260">
        <f t="shared" si="190"/>
        <v>1847015.7563654331</v>
      </c>
      <c r="U82" s="259">
        <v>3</v>
      </c>
      <c r="V82" s="264">
        <f t="shared" si="191"/>
        <v>1.4837992195105352</v>
      </c>
      <c r="W82" s="264">
        <f t="shared" si="192"/>
        <v>4.6427363334443834</v>
      </c>
      <c r="X82" s="260">
        <f t="shared" si="193"/>
        <v>3694031.5127308662</v>
      </c>
      <c r="Y82" s="263">
        <f t="shared" si="194"/>
        <v>4.2815552453984468E-2</v>
      </c>
      <c r="Z82" s="264">
        <f t="shared" si="195"/>
        <v>1.4706910677272436</v>
      </c>
      <c r="AA82" s="264">
        <f t="shared" si="196"/>
        <v>1.455626997182698E-2</v>
      </c>
      <c r="AB82" s="266">
        <f t="shared" si="197"/>
        <v>1.219541038337256E-2</v>
      </c>
      <c r="AC82" s="266">
        <f t="shared" si="280"/>
        <v>2.7927050008865</v>
      </c>
      <c r="AD82" s="266">
        <f t="shared" si="198"/>
        <v>23.355998993</v>
      </c>
      <c r="AE82" s="266">
        <f t="shared" si="199"/>
        <v>1.5061696012515419E-2</v>
      </c>
      <c r="AF82" s="258"/>
      <c r="AG82" s="267">
        <v>-73.495778999999999</v>
      </c>
      <c r="AH82" s="277">
        <v>0.65213060045860816</v>
      </c>
      <c r="AI82" s="277">
        <f t="shared" si="282"/>
        <v>1.8401222073555588</v>
      </c>
      <c r="AJ82" s="277">
        <f t="shared" si="283"/>
        <v>2.5026436655020783</v>
      </c>
      <c r="AK82" s="277">
        <f t="shared" si="284"/>
        <v>1.0309749957380461</v>
      </c>
      <c r="AL82" s="277">
        <f t="shared" si="269"/>
        <v>0.82284085620907199</v>
      </c>
      <c r="AM82" s="278">
        <v>1.16779994965</v>
      </c>
      <c r="AN82" s="261">
        <v>1.0000025290524901</v>
      </c>
      <c r="AO82" s="261">
        <v>0.55555696058471704</v>
      </c>
      <c r="AP82" s="261">
        <v>0.444445568467774</v>
      </c>
      <c r="AQ82" s="481">
        <f t="shared" si="257"/>
        <v>2.16779994965</v>
      </c>
      <c r="AR82" s="268" t="str">
        <f t="shared" si="273"/>
        <v>unlikely, too shallow</v>
      </c>
      <c r="AS82" s="258"/>
      <c r="AT82" s="259">
        <v>30965810</v>
      </c>
      <c r="AU82" s="259">
        <v>0</v>
      </c>
      <c r="AV82" s="259">
        <v>0</v>
      </c>
      <c r="AW82" s="259">
        <v>5517.9340083620918</v>
      </c>
      <c r="AX82" s="259">
        <v>7017.7128851299321</v>
      </c>
      <c r="AY82" s="259">
        <v>3356.2307635440952</v>
      </c>
      <c r="AZ82" s="259">
        <v>790.81000000000006</v>
      </c>
      <c r="BA82" s="269"/>
      <c r="BB82" s="259">
        <v>16682.68765703612</v>
      </c>
      <c r="BC82" s="260">
        <f>BB82-AU82+AV82</f>
        <v>16682.68765703612</v>
      </c>
      <c r="BD82" s="260">
        <f t="shared" si="200"/>
        <v>210.95696383500615</v>
      </c>
      <c r="BE82" s="260">
        <f>BC82</f>
        <v>16682.68765703612</v>
      </c>
      <c r="BF82" s="260">
        <f>BD82</f>
        <v>210.95696383500615</v>
      </c>
      <c r="BG82" s="270">
        <f>AV82/BE82*100</f>
        <v>0</v>
      </c>
      <c r="BH82" s="258"/>
      <c r="BI82" s="262">
        <f t="shared" si="258"/>
        <v>0</v>
      </c>
      <c r="BJ82" s="259">
        <v>0</v>
      </c>
      <c r="BK82" s="262">
        <v>0</v>
      </c>
      <c r="BL82" s="259">
        <f t="shared" si="281"/>
        <v>0</v>
      </c>
      <c r="BM82" s="259"/>
      <c r="BN82" s="258"/>
      <c r="BO82" s="260">
        <f t="shared" si="201"/>
        <v>79.081000000000003</v>
      </c>
      <c r="BP82" s="260">
        <f t="shared" si="202"/>
        <v>3.4922323232584316</v>
      </c>
      <c r="BQ82" s="263">
        <f t="shared" si="214"/>
        <v>1.96779994965</v>
      </c>
      <c r="BR82" s="260">
        <f t="shared" si="203"/>
        <v>3</v>
      </c>
      <c r="BS82" s="265">
        <f t="shared" si="204"/>
        <v>1.455626997182698E-2</v>
      </c>
      <c r="BT82" s="263">
        <f t="shared" si="205"/>
        <v>2.7927050008865</v>
      </c>
      <c r="BU82" s="260">
        <f t="shared" si="206"/>
        <v>0</v>
      </c>
      <c r="BV82" s="258"/>
      <c r="BW82" s="138"/>
      <c r="BX82" s="138"/>
      <c r="BY82" s="138"/>
      <c r="BZ82" s="138"/>
      <c r="CA82" s="138"/>
      <c r="CB82" s="138"/>
      <c r="CC82" s="138"/>
      <c r="CD82" s="138"/>
      <c r="CE82" s="138"/>
      <c r="CF82" s="138"/>
      <c r="CG82" s="138"/>
      <c r="CH82" s="138"/>
      <c r="CI82" s="258"/>
      <c r="CJ82" s="312" t="str">
        <f t="shared" si="216"/>
        <v>intermediate complexity hydrodynamics</v>
      </c>
      <c r="CK82" s="313">
        <f t="shared" si="217"/>
        <v>2</v>
      </c>
      <c r="CL82" s="312" t="str">
        <f t="shared" si="218"/>
        <v>intermediate or complex water quality</v>
      </c>
      <c r="CM82" s="313">
        <f t="shared" si="219"/>
        <v>3</v>
      </c>
      <c r="CN82" s="312" t="str">
        <f t="shared" si="220"/>
        <v>shallow</v>
      </c>
      <c r="CO82" s="313">
        <f t="shared" si="221"/>
        <v>1</v>
      </c>
      <c r="CP82" s="312" t="str">
        <f t="shared" si="222"/>
        <v>mid-size</v>
      </c>
      <c r="CQ82" s="313">
        <f t="shared" si="223"/>
        <v>4</v>
      </c>
      <c r="CR82" s="312" t="str">
        <f t="shared" si="224"/>
        <v>very low</v>
      </c>
      <c r="CS82" s="313">
        <f t="shared" si="225"/>
        <v>1</v>
      </c>
      <c r="CT82" s="312" t="str">
        <f t="shared" si="226"/>
        <v>mouth</v>
      </c>
      <c r="CU82" s="313">
        <f t="shared" si="227"/>
        <v>4</v>
      </c>
      <c r="CV82" s="313">
        <f t="shared" si="228"/>
        <v>125</v>
      </c>
      <c r="CW82" s="313" t="str">
        <f t="shared" si="229"/>
        <v>intermediate complexity hydrodynamics</v>
      </c>
      <c r="CX82" s="313">
        <f t="shared" si="271"/>
        <v>86</v>
      </c>
      <c r="CY82" s="313" t="str">
        <f t="shared" si="230"/>
        <v>intermediate complexity water quality</v>
      </c>
      <c r="CZ82" s="273" t="s">
        <v>402</v>
      </c>
      <c r="DA82" s="272" t="str">
        <f t="shared" si="276"/>
        <v>-</v>
      </c>
      <c r="DB82" s="271" t="str">
        <f t="shared" si="259"/>
        <v>intermediate complexity hydrodynamics; intermediate complexity water quality</v>
      </c>
      <c r="DC82" s="274"/>
      <c r="DD82" s="475" t="str">
        <f t="shared" si="260"/>
        <v>Holly Pond</v>
      </c>
      <c r="DE82" s="475">
        <f t="shared" si="261"/>
        <v>72</v>
      </c>
      <c r="DF82" s="464">
        <f t="shared" si="231"/>
        <v>30.97</v>
      </c>
      <c r="DG82" s="479">
        <f t="shared" si="232"/>
        <v>0.79</v>
      </c>
      <c r="DH82" s="464">
        <f t="shared" si="233"/>
        <v>1.66</v>
      </c>
      <c r="DI82" s="464">
        <f t="shared" si="234"/>
        <v>475.9</v>
      </c>
      <c r="DJ82" s="464">
        <f t="shared" si="235"/>
        <v>3</v>
      </c>
      <c r="DK82" s="464">
        <f t="shared" si="236"/>
        <v>0.9</v>
      </c>
      <c r="DL82" s="464">
        <f t="shared" si="237"/>
        <v>0.9</v>
      </c>
      <c r="DM82" s="464">
        <f t="shared" si="238"/>
        <v>2</v>
      </c>
      <c r="DN82" s="464">
        <f t="shared" si="239"/>
        <v>0</v>
      </c>
      <c r="DO82" s="464">
        <f t="shared" si="240"/>
        <v>79081</v>
      </c>
      <c r="DP82" s="464">
        <f t="shared" si="241"/>
        <v>1847016</v>
      </c>
      <c r="DQ82" s="467">
        <f t="shared" si="242"/>
        <v>2.34</v>
      </c>
      <c r="DR82" s="464">
        <f t="shared" si="243"/>
        <v>3</v>
      </c>
      <c r="DS82" s="464">
        <f t="shared" si="244"/>
        <v>53771</v>
      </c>
      <c r="DT82" s="464">
        <f t="shared" si="245"/>
        <v>1.5</v>
      </c>
      <c r="DU82" s="464">
        <f t="shared" si="246"/>
        <v>0</v>
      </c>
      <c r="DV82" s="464">
        <f t="shared" si="247"/>
        <v>0</v>
      </c>
      <c r="DW82" s="464">
        <f t="shared" si="248"/>
        <v>0</v>
      </c>
      <c r="DX82" s="464">
        <f t="shared" si="249"/>
        <v>100</v>
      </c>
      <c r="DY82" s="464">
        <f t="shared" si="250"/>
        <v>56</v>
      </c>
      <c r="DZ82" s="464">
        <f t="shared" si="251"/>
        <v>44</v>
      </c>
      <c r="EA82" s="464">
        <f t="shared" si="252"/>
        <v>16683</v>
      </c>
      <c r="EB82" s="464">
        <f t="shared" si="253"/>
        <v>211</v>
      </c>
      <c r="EC82" s="464">
        <f t="shared" si="254"/>
        <v>0</v>
      </c>
      <c r="ED82" s="464">
        <f t="shared" si="255"/>
        <v>1.456E-2</v>
      </c>
      <c r="EE82" s="464">
        <f t="shared" si="256"/>
        <v>2.79</v>
      </c>
      <c r="EF82" s="275">
        <f t="shared" si="262"/>
        <v>2.17</v>
      </c>
      <c r="EG82" s="275" t="str">
        <f t="shared" si="263"/>
        <v>unlikely, too shallow</v>
      </c>
      <c r="EH82" s="275">
        <f t="shared" si="264"/>
        <v>2.5</v>
      </c>
      <c r="EI82" s="275">
        <f t="shared" si="265"/>
        <v>1.03</v>
      </c>
      <c r="EJ82" s="275">
        <f t="shared" si="266"/>
        <v>0.82</v>
      </c>
    </row>
    <row r="83" spans="1:140" s="275" customFormat="1" ht="44" customHeight="1" x14ac:dyDescent="0.35">
      <c r="A83" s="389">
        <v>73</v>
      </c>
      <c r="B83" s="281" t="s">
        <v>465</v>
      </c>
      <c r="C83" s="257">
        <v>73</v>
      </c>
      <c r="D83" s="256" t="s">
        <v>399</v>
      </c>
      <c r="E83" s="258"/>
      <c r="F83" s="259">
        <v>1283774</v>
      </c>
      <c r="G83" s="259">
        <v>1343.03</v>
      </c>
      <c r="H83" s="260">
        <f t="shared" si="267"/>
        <v>955.87887091129755</v>
      </c>
      <c r="I83" s="260">
        <f t="shared" si="279"/>
        <v>1.4050211181251528</v>
      </c>
      <c r="J83" s="261">
        <v>1</v>
      </c>
      <c r="K83" s="262">
        <v>2.65491803278689</v>
      </c>
      <c r="L83" s="262">
        <v>2.5499999999999998</v>
      </c>
      <c r="M83" s="262">
        <v>4.74</v>
      </c>
      <c r="N83" s="260">
        <f>F83*MAX(0.1,(K83-S83))</f>
        <v>1941731.2912340253</v>
      </c>
      <c r="O83" s="258"/>
      <c r="P83" s="260">
        <f t="shared" si="268"/>
        <v>1661.7020192104801</v>
      </c>
      <c r="Q83" s="276">
        <f>P83+P82</f>
        <v>55433.022002957383</v>
      </c>
      <c r="R83" s="263">
        <f t="shared" si="189"/>
        <v>2.2848000526400001</v>
      </c>
      <c r="S83" s="262">
        <v>1.14240002632</v>
      </c>
      <c r="T83" s="260">
        <f t="shared" si="190"/>
        <v>2933166.9027778637</v>
      </c>
      <c r="U83" s="259">
        <v>0</v>
      </c>
      <c r="V83" s="264">
        <f t="shared" si="191"/>
        <v>1.2880138185683749</v>
      </c>
      <c r="W83" s="264">
        <f t="shared" si="192"/>
        <v>4.0200260493995827</v>
      </c>
      <c r="X83" s="260">
        <f t="shared" si="193"/>
        <v>5866333.8055557273</v>
      </c>
      <c r="Y83" s="263">
        <f t="shared" si="194"/>
        <v>0.66199140914726107</v>
      </c>
      <c r="Z83" s="264">
        <f t="shared" si="195"/>
        <v>35.028422068175047</v>
      </c>
      <c r="AA83" s="264">
        <f t="shared" si="196"/>
        <v>9.4493467027838389E-3</v>
      </c>
      <c r="AB83" s="266">
        <f t="shared" si="197"/>
        <v>8.7161505549857004E-3</v>
      </c>
      <c r="AC83" s="266">
        <f t="shared" si="280"/>
        <v>3.0746924731554426</v>
      </c>
      <c r="AD83" s="266">
        <f t="shared" si="198"/>
        <v>1.5105936212799831</v>
      </c>
      <c r="AE83" s="266">
        <f t="shared" si="199"/>
        <v>9.7774490188527238E-3</v>
      </c>
      <c r="AF83" s="258"/>
      <c r="AG83" s="267">
        <v>-73.495778999999999</v>
      </c>
      <c r="AH83" s="277">
        <v>0.49523855293336505</v>
      </c>
      <c r="AI83" s="277">
        <f t="shared" si="282"/>
        <v>2.4230746836897841</v>
      </c>
      <c r="AJ83" s="277">
        <f t="shared" si="283"/>
        <v>1.9005481824338482</v>
      </c>
      <c r="AK83" s="277">
        <f t="shared" si="284"/>
        <v>0.7829391300465427</v>
      </c>
      <c r="AL83" s="277">
        <f t="shared" si="269"/>
        <v>0.62487868938653923</v>
      </c>
      <c r="AM83" s="278">
        <v>1.14240002632</v>
      </c>
      <c r="AN83" s="261">
        <v>0.213114754098361</v>
      </c>
      <c r="AO83" s="261">
        <v>0</v>
      </c>
      <c r="AP83" s="261">
        <v>0</v>
      </c>
      <c r="AQ83" s="481">
        <f t="shared" si="257"/>
        <v>2.1424000263199998</v>
      </c>
      <c r="AR83" s="268" t="str">
        <f t="shared" si="273"/>
        <v>possible if water clarity improves</v>
      </c>
      <c r="AS83" s="258"/>
      <c r="AT83" s="259">
        <v>923915.8</v>
      </c>
      <c r="AU83" s="259">
        <v>0</v>
      </c>
      <c r="AV83" s="259">
        <v>0</v>
      </c>
      <c r="AW83" s="259">
        <v>146.23366012108741</v>
      </c>
      <c r="AX83" s="259">
        <v>498.86393398202313</v>
      </c>
      <c r="AY83" s="259">
        <v>227.9198443511352</v>
      </c>
      <c r="AZ83" s="259">
        <v>1283.7740000000001</v>
      </c>
      <c r="BA83" s="269"/>
      <c r="BB83" s="259">
        <v>2156.791438454246</v>
      </c>
      <c r="BC83" s="260">
        <f>BB83-AU83+AV83</f>
        <v>2156.791438454246</v>
      </c>
      <c r="BD83" s="260">
        <f t="shared" si="200"/>
        <v>16.800398188888742</v>
      </c>
      <c r="BE83" s="453">
        <f>(BC83+BC82)</f>
        <v>18839.479095490366</v>
      </c>
      <c r="BF83" s="453">
        <f>(BC83+BC82)/SUM(F82:F83)*10000</f>
        <v>90.810876279246187</v>
      </c>
      <c r="BG83" s="280">
        <f>(AV83+AV82)/BE83*100</f>
        <v>0</v>
      </c>
      <c r="BH83" s="258"/>
      <c r="BI83" s="262">
        <f t="shared" si="258"/>
        <v>5.9906925000000006</v>
      </c>
      <c r="BJ83" s="259">
        <v>23962.77</v>
      </c>
      <c r="BK83" s="262">
        <v>0</v>
      </c>
      <c r="BL83" s="259">
        <f t="shared" si="281"/>
        <v>0</v>
      </c>
      <c r="BM83" s="259"/>
      <c r="BN83" s="258"/>
      <c r="BO83" s="260">
        <f t="shared" si="201"/>
        <v>128.37739999999999</v>
      </c>
      <c r="BP83" s="260">
        <f t="shared" si="202"/>
        <v>1.4050211181251528</v>
      </c>
      <c r="BQ83" s="263">
        <f t="shared" si="214"/>
        <v>4.74</v>
      </c>
      <c r="BR83" s="260">
        <f t="shared" si="203"/>
        <v>0</v>
      </c>
      <c r="BS83" s="265">
        <f t="shared" si="204"/>
        <v>9.4493467027838389E-3</v>
      </c>
      <c r="BT83" s="263">
        <f t="shared" si="205"/>
        <v>3.0746924731554426</v>
      </c>
      <c r="BU83" s="260">
        <f t="shared" si="206"/>
        <v>0</v>
      </c>
      <c r="BV83" s="258"/>
      <c r="BW83" s="138"/>
      <c r="BX83" s="138"/>
      <c r="BY83" s="138"/>
      <c r="BZ83" s="138"/>
      <c r="CA83" s="138"/>
      <c r="CB83" s="138"/>
      <c r="CC83" s="138"/>
      <c r="CD83" s="138"/>
      <c r="CE83" s="138"/>
      <c r="CF83" s="138"/>
      <c r="CG83" s="138"/>
      <c r="CH83" s="138"/>
      <c r="CI83" s="258"/>
      <c r="CJ83" s="312" t="str">
        <f t="shared" si="216"/>
        <v>intermediate complexity hydrodynamics</v>
      </c>
      <c r="CK83" s="313">
        <f t="shared" si="217"/>
        <v>2</v>
      </c>
      <c r="CL83" s="312" t="str">
        <f t="shared" si="218"/>
        <v>intermediate or complex water quality</v>
      </c>
      <c r="CM83" s="313">
        <f t="shared" si="219"/>
        <v>3</v>
      </c>
      <c r="CN83" s="312" t="str">
        <f t="shared" si="220"/>
        <v>moderate</v>
      </c>
      <c r="CO83" s="313">
        <f t="shared" si="221"/>
        <v>2</v>
      </c>
      <c r="CP83" s="312" t="str">
        <f t="shared" si="222"/>
        <v>mid-size</v>
      </c>
      <c r="CQ83" s="313">
        <f t="shared" si="223"/>
        <v>4</v>
      </c>
      <c r="CR83" s="312" t="str">
        <f t="shared" si="224"/>
        <v>very low</v>
      </c>
      <c r="CS83" s="313">
        <f t="shared" si="225"/>
        <v>1</v>
      </c>
      <c r="CT83" s="312" t="str">
        <f t="shared" si="226"/>
        <v>none</v>
      </c>
      <c r="CU83" s="313">
        <f t="shared" si="227"/>
        <v>1</v>
      </c>
      <c r="CV83" s="313">
        <f t="shared" si="228"/>
        <v>132</v>
      </c>
      <c r="CW83" s="313" t="str">
        <f t="shared" si="229"/>
        <v>intermediate complexity hydrodynamics</v>
      </c>
      <c r="CX83" s="313">
        <f t="shared" si="271"/>
        <v>103</v>
      </c>
      <c r="CY83" s="313" t="str">
        <f t="shared" si="230"/>
        <v>intermediate complexity water quality</v>
      </c>
      <c r="CZ83" s="273" t="s">
        <v>402</v>
      </c>
      <c r="DA83" s="272" t="str">
        <f t="shared" si="276"/>
        <v>-</v>
      </c>
      <c r="DB83" s="271" t="str">
        <f t="shared" si="259"/>
        <v>intermediate complexity hydrodynamics; intermediate complexity water quality</v>
      </c>
      <c r="DC83" s="274"/>
      <c r="DD83" s="475" t="str">
        <f t="shared" si="260"/>
        <v>Cove Harbor</v>
      </c>
      <c r="DE83" s="475">
        <f t="shared" si="261"/>
        <v>73</v>
      </c>
      <c r="DF83" s="464">
        <f t="shared" si="231"/>
        <v>0.92</v>
      </c>
      <c r="DG83" s="479">
        <f t="shared" si="232"/>
        <v>1.28</v>
      </c>
      <c r="DH83" s="464">
        <f t="shared" si="233"/>
        <v>1.34</v>
      </c>
      <c r="DI83" s="464">
        <f t="shared" si="234"/>
        <v>955.9</v>
      </c>
      <c r="DJ83" s="464">
        <f t="shared" si="235"/>
        <v>1</v>
      </c>
      <c r="DK83" s="464">
        <f t="shared" si="236"/>
        <v>2.7</v>
      </c>
      <c r="DL83" s="464">
        <f t="shared" si="237"/>
        <v>2.6</v>
      </c>
      <c r="DM83" s="464">
        <f t="shared" si="238"/>
        <v>4.7</v>
      </c>
      <c r="DN83" s="464">
        <f t="shared" si="239"/>
        <v>100</v>
      </c>
      <c r="DO83" s="464">
        <f t="shared" si="240"/>
        <v>1941731</v>
      </c>
      <c r="DP83" s="464">
        <f t="shared" si="241"/>
        <v>2933167</v>
      </c>
      <c r="DQ83" s="467">
        <f t="shared" si="242"/>
        <v>2.2799999999999998</v>
      </c>
      <c r="DR83" s="464">
        <f t="shared" si="243"/>
        <v>0</v>
      </c>
      <c r="DS83" s="464">
        <f t="shared" si="244"/>
        <v>55433</v>
      </c>
      <c r="DT83" s="464">
        <f t="shared" si="245"/>
        <v>35</v>
      </c>
      <c r="DU83" s="464">
        <f t="shared" si="246"/>
        <v>0.7</v>
      </c>
      <c r="DV83" s="464">
        <f t="shared" si="247"/>
        <v>5.99</v>
      </c>
      <c r="DW83" s="464">
        <f t="shared" si="248"/>
        <v>0</v>
      </c>
      <c r="DX83" s="464">
        <f t="shared" si="249"/>
        <v>21</v>
      </c>
      <c r="DY83" s="464">
        <f t="shared" si="250"/>
        <v>0</v>
      </c>
      <c r="DZ83" s="464">
        <f t="shared" si="251"/>
        <v>0</v>
      </c>
      <c r="EA83" s="464">
        <f t="shared" si="252"/>
        <v>18839</v>
      </c>
      <c r="EB83" s="464">
        <f t="shared" si="253"/>
        <v>91</v>
      </c>
      <c r="EC83" s="464">
        <f t="shared" si="254"/>
        <v>0</v>
      </c>
      <c r="ED83" s="464">
        <f t="shared" si="255"/>
        <v>9.4500000000000001E-3</v>
      </c>
      <c r="EE83" s="464">
        <f t="shared" si="256"/>
        <v>3.07</v>
      </c>
      <c r="EF83" s="275">
        <f t="shared" si="262"/>
        <v>2.14</v>
      </c>
      <c r="EG83" s="275" t="str">
        <f t="shared" si="263"/>
        <v>possible if water clarity improves</v>
      </c>
      <c r="EH83" s="275">
        <f t="shared" si="264"/>
        <v>1.9</v>
      </c>
      <c r="EI83" s="275">
        <f t="shared" si="265"/>
        <v>0.78</v>
      </c>
      <c r="EJ83" s="275">
        <f t="shared" si="266"/>
        <v>0.62</v>
      </c>
    </row>
    <row r="84" spans="1:140" ht="44" customHeight="1" x14ac:dyDescent="0.35">
      <c r="A84" s="388">
        <v>73.5</v>
      </c>
      <c r="B84" s="215" t="s">
        <v>479</v>
      </c>
      <c r="C84" s="210" t="s">
        <v>481</v>
      </c>
      <c r="D84" s="196"/>
      <c r="E84" s="221"/>
      <c r="F84" s="197">
        <f>F82+F83</f>
        <v>2074584</v>
      </c>
      <c r="G84" s="197">
        <f>G82+G83</f>
        <v>3004.864</v>
      </c>
      <c r="H84" s="241">
        <f t="shared" si="267"/>
        <v>690.40861749483508</v>
      </c>
      <c r="I84" s="241">
        <f>G84/H84</f>
        <v>4.3522979346683481</v>
      </c>
      <c r="J84" s="452">
        <f>SUM(J82*($F82/$F84),J83*($F83/$F84))</f>
        <v>0.61881032534715397</v>
      </c>
      <c r="K84" s="242">
        <f>SUM(K82*($F82/$F84),K83*($F83/$F84))</f>
        <v>1.9859622664702692</v>
      </c>
      <c r="L84" s="242">
        <f>SUM(L82*($F82/$F84),L83*($F83/$F84))</f>
        <v>1.9019775530901617</v>
      </c>
      <c r="M84" s="242">
        <f>MAX(M81:M83)</f>
        <v>4.74</v>
      </c>
      <c r="N84" s="241">
        <f>N83+N82</f>
        <v>2020812.2912340253</v>
      </c>
      <c r="O84" s="221"/>
      <c r="P84" s="241"/>
      <c r="Q84" s="241">
        <f>Q83</f>
        <v>55433.022002957383</v>
      </c>
      <c r="R84" s="242">
        <f t="shared" si="189"/>
        <v>2.2848000526400001</v>
      </c>
      <c r="S84" s="213">
        <f>S83</f>
        <v>1.14240002632</v>
      </c>
      <c r="T84" s="241">
        <f t="shared" si="190"/>
        <v>4740009.6324061016</v>
      </c>
      <c r="U84" s="197">
        <v>2</v>
      </c>
      <c r="V84" s="243">
        <f t="shared" si="191"/>
        <v>2.5653629432545597</v>
      </c>
      <c r="W84" s="243">
        <f t="shared" si="192"/>
        <v>8.048991830663466</v>
      </c>
      <c r="X84" s="241">
        <f t="shared" si="193"/>
        <v>9480019.2648122031</v>
      </c>
      <c r="Y84" s="242">
        <f t="shared" si="194"/>
        <v>0.42633084064182164</v>
      </c>
      <c r="Z84" s="243">
        <f t="shared" si="195"/>
        <v>36.455026592744915</v>
      </c>
      <c r="AA84" s="243">
        <f t="shared" si="196"/>
        <v>5.8473533074677245E-3</v>
      </c>
      <c r="AB84" s="245">
        <f t="shared" si="197"/>
        <v>5.412958889416346E-3</v>
      </c>
      <c r="AC84" s="245">
        <f>AB84/(0.3*AA84)</f>
        <v>3.0857031120406742</v>
      </c>
      <c r="AD84" s="245">
        <f t="shared" si="198"/>
        <v>2.3455962005810922</v>
      </c>
      <c r="AE84" s="245">
        <f t="shared" si="199"/>
        <v>6.0503864084214655E-3</v>
      </c>
      <c r="AF84" s="221"/>
      <c r="AG84" s="211">
        <f>AG83</f>
        <v>-73.495778999999999</v>
      </c>
      <c r="AH84" s="242">
        <f>AH83</f>
        <v>0.49523855293336505</v>
      </c>
      <c r="AI84" s="242">
        <f>1.2/AH84</f>
        <v>2.4230746836897841</v>
      </c>
      <c r="AJ84" s="242">
        <f>-LN(0.01)/AI84</f>
        <v>1.9005481824338482</v>
      </c>
      <c r="AK84" s="242">
        <f>-LN(0.15)/AI84</f>
        <v>0.7829391300465427</v>
      </c>
      <c r="AL84" s="242">
        <f t="shared" si="269"/>
        <v>0.62487868938653923</v>
      </c>
      <c r="AM84" s="242">
        <f>SUM(AM82*($F82/$F84),AM83*($F83/$F84))</f>
        <v>1.15208221483037</v>
      </c>
      <c r="AN84" s="452">
        <f>SUM(AN82*($F82/$F84),AN83*($F83/$F84))</f>
        <v>0.51306824902142745</v>
      </c>
      <c r="AO84" s="452">
        <f>SUM(AO82*($F82/$F84),AO83*($F83/$F84))</f>
        <v>0.21177257705641234</v>
      </c>
      <c r="AP84" s="452">
        <f>SUM(AP82*($F82/$F84),AP83*($F83/$F84))</f>
        <v>0.16941806164513001</v>
      </c>
      <c r="AQ84" s="483">
        <f t="shared" si="257"/>
        <v>2.1424000263199998</v>
      </c>
      <c r="AR84" s="247" t="str">
        <f t="shared" si="273"/>
        <v>possible if water clarity improves</v>
      </c>
      <c r="AS84" s="221"/>
      <c r="AT84" s="241">
        <f>AT83+AT82</f>
        <v>31889725.800000001</v>
      </c>
      <c r="AU84" s="241">
        <f t="shared" ref="AU84:AZ84" si="286">AU83+AU82</f>
        <v>0</v>
      </c>
      <c r="AV84" s="241">
        <f t="shared" si="286"/>
        <v>0</v>
      </c>
      <c r="AW84" s="241">
        <f>AW83+AW82</f>
        <v>5664.1676684831791</v>
      </c>
      <c r="AX84" s="241">
        <f t="shared" si="286"/>
        <v>7516.576819111955</v>
      </c>
      <c r="AY84" s="241">
        <f t="shared" si="286"/>
        <v>3584.1506078952302</v>
      </c>
      <c r="AZ84" s="241">
        <f t="shared" si="286"/>
        <v>2074.5840000000003</v>
      </c>
      <c r="BA84" s="214"/>
      <c r="BB84" s="241">
        <f>BB83+BB82</f>
        <v>18839.479095490366</v>
      </c>
      <c r="BC84" s="241">
        <f>BC83+BC82</f>
        <v>18839.479095490366</v>
      </c>
      <c r="BD84" s="241">
        <f t="shared" si="200"/>
        <v>90.810876279246187</v>
      </c>
      <c r="BE84" s="457">
        <f t="shared" ref="BE84:BE93" si="287">BC84</f>
        <v>18839.479095490366</v>
      </c>
      <c r="BF84" s="457">
        <f>BD84</f>
        <v>90.810876279246187</v>
      </c>
      <c r="BG84" s="248">
        <f t="shared" ref="BG84:BG93" si="288">AV84/BE84*100</f>
        <v>0</v>
      </c>
      <c r="BH84" s="221"/>
      <c r="BI84" s="242">
        <f t="shared" si="258"/>
        <v>5.9906925000000006</v>
      </c>
      <c r="BJ84" s="241">
        <f>BJ83+BJ82</f>
        <v>23962.77</v>
      </c>
      <c r="BK84" s="242">
        <f>BK83+BK82</f>
        <v>0</v>
      </c>
      <c r="BL84" s="241">
        <f>BL83+BL82</f>
        <v>0</v>
      </c>
      <c r="BM84" s="197"/>
      <c r="BN84" s="221"/>
      <c r="BO84" s="241">
        <f t="shared" si="201"/>
        <v>207.45840000000001</v>
      </c>
      <c r="BP84" s="241">
        <f t="shared" si="202"/>
        <v>4.3522979346683481</v>
      </c>
      <c r="BQ84" s="242">
        <f t="shared" si="214"/>
        <v>4.74</v>
      </c>
      <c r="BR84" s="241">
        <f t="shared" si="203"/>
        <v>2</v>
      </c>
      <c r="BS84" s="244">
        <f t="shared" si="204"/>
        <v>5.8473533074677245E-3</v>
      </c>
      <c r="BT84" s="242">
        <f t="shared" si="205"/>
        <v>3.0857031120406742</v>
      </c>
      <c r="BU84" s="241">
        <f t="shared" si="206"/>
        <v>0</v>
      </c>
      <c r="BV84" s="221"/>
      <c r="CI84" s="221"/>
      <c r="CJ84" s="303" t="str">
        <f t="shared" si="216"/>
        <v>intermediate complexity hydrodynamics</v>
      </c>
      <c r="CK84" s="304">
        <f t="shared" si="217"/>
        <v>2</v>
      </c>
      <c r="CL84" s="303" t="str">
        <f t="shared" si="218"/>
        <v>intermediate or complex water quality</v>
      </c>
      <c r="CM84" s="304">
        <f t="shared" si="219"/>
        <v>3</v>
      </c>
      <c r="CN84" s="303" t="str">
        <f t="shared" si="220"/>
        <v>moderate</v>
      </c>
      <c r="CO84" s="304">
        <f t="shared" si="221"/>
        <v>2</v>
      </c>
      <c r="CP84" s="303" t="str">
        <f t="shared" si="222"/>
        <v>mid-size</v>
      </c>
      <c r="CQ84" s="304">
        <f t="shared" si="223"/>
        <v>4</v>
      </c>
      <c r="CR84" s="303" t="str">
        <f t="shared" si="224"/>
        <v>very low</v>
      </c>
      <c r="CS84" s="304">
        <f t="shared" si="225"/>
        <v>1</v>
      </c>
      <c r="CT84" s="303" t="str">
        <f t="shared" si="226"/>
        <v>mid-estuary</v>
      </c>
      <c r="CU84" s="304">
        <f t="shared" si="227"/>
        <v>3</v>
      </c>
      <c r="CV84" s="304">
        <f t="shared" si="228"/>
        <v>134</v>
      </c>
      <c r="CW84" s="304" t="str">
        <f t="shared" si="229"/>
        <v>intermediate complexity hydrodynamics</v>
      </c>
      <c r="CX84" s="304">
        <f t="shared" si="271"/>
        <v>105</v>
      </c>
      <c r="CY84" s="304" t="str">
        <f t="shared" si="230"/>
        <v>intermediate complexity water quality</v>
      </c>
      <c r="CZ84" s="216" t="s">
        <v>402</v>
      </c>
      <c r="DA84" s="252" t="str">
        <f t="shared" si="276"/>
        <v>-</v>
      </c>
      <c r="DB84" s="251" t="str">
        <f t="shared" si="259"/>
        <v>intermediate complexity hydrodynamics; intermediate complexity water quality</v>
      </c>
      <c r="DC84" s="227"/>
      <c r="DD84" s="475" t="str">
        <f t="shared" si="260"/>
        <v>Holly Pond + Cove Harbor</v>
      </c>
      <c r="DE84" s="475" t="str">
        <f t="shared" si="261"/>
        <v>72-73</v>
      </c>
      <c r="DF84" s="477">
        <f t="shared" si="231"/>
        <v>31.89</v>
      </c>
      <c r="DG84" s="478">
        <f t="shared" si="232"/>
        <v>2.0699999999999998</v>
      </c>
      <c r="DH84" s="477">
        <f t="shared" si="233"/>
        <v>3</v>
      </c>
      <c r="DI84" s="477">
        <f t="shared" si="234"/>
        <v>690.4</v>
      </c>
      <c r="DJ84" s="477">
        <f t="shared" si="235"/>
        <v>4</v>
      </c>
      <c r="DK84" s="477">
        <f t="shared" si="236"/>
        <v>2</v>
      </c>
      <c r="DL84" s="477">
        <f t="shared" si="237"/>
        <v>1.9</v>
      </c>
      <c r="DM84" s="477">
        <f t="shared" si="238"/>
        <v>4.7</v>
      </c>
      <c r="DN84" s="477">
        <f t="shared" si="239"/>
        <v>62</v>
      </c>
      <c r="DO84" s="477">
        <f t="shared" si="240"/>
        <v>2020812</v>
      </c>
      <c r="DP84" s="477">
        <f t="shared" si="241"/>
        <v>4740010</v>
      </c>
      <c r="DQ84" s="467">
        <f t="shared" si="242"/>
        <v>2.2799999999999998</v>
      </c>
      <c r="DR84" s="467">
        <f t="shared" si="243"/>
        <v>2</v>
      </c>
      <c r="DS84" s="467">
        <f t="shared" si="244"/>
        <v>55433</v>
      </c>
      <c r="DT84" s="467">
        <f t="shared" si="245"/>
        <v>36.5</v>
      </c>
      <c r="DU84" s="467">
        <f t="shared" si="246"/>
        <v>0.4</v>
      </c>
      <c r="DV84" s="467">
        <f t="shared" si="247"/>
        <v>5.99</v>
      </c>
      <c r="DW84" s="467">
        <f t="shared" si="248"/>
        <v>0</v>
      </c>
      <c r="DX84" s="467">
        <f t="shared" si="249"/>
        <v>51</v>
      </c>
      <c r="DY84" s="467">
        <f t="shared" si="250"/>
        <v>21</v>
      </c>
      <c r="DZ84" s="467">
        <f t="shared" si="251"/>
        <v>17</v>
      </c>
      <c r="EA84" s="467">
        <f t="shared" si="252"/>
        <v>18839</v>
      </c>
      <c r="EB84" s="467">
        <f t="shared" si="253"/>
        <v>91</v>
      </c>
      <c r="EC84" s="467">
        <f t="shared" si="254"/>
        <v>0</v>
      </c>
      <c r="ED84" s="467">
        <f t="shared" si="255"/>
        <v>5.8500000000000002E-3</v>
      </c>
      <c r="EE84" s="467">
        <f t="shared" si="256"/>
        <v>3.09</v>
      </c>
      <c r="EF84" s="138">
        <f t="shared" si="262"/>
        <v>2.14</v>
      </c>
      <c r="EG84" s="138" t="str">
        <f t="shared" si="263"/>
        <v>possible if water clarity improves</v>
      </c>
      <c r="EH84" s="138">
        <f t="shared" si="264"/>
        <v>1.9</v>
      </c>
      <c r="EI84" s="138">
        <f t="shared" si="265"/>
        <v>0.78</v>
      </c>
      <c r="EJ84" s="138">
        <f t="shared" si="266"/>
        <v>0.62</v>
      </c>
    </row>
    <row r="85" spans="1:140" ht="44" customHeight="1" x14ac:dyDescent="0.35">
      <c r="A85" s="388">
        <v>74</v>
      </c>
      <c r="B85" s="215" t="s">
        <v>466</v>
      </c>
      <c r="C85" s="210">
        <v>74</v>
      </c>
      <c r="D85" s="196"/>
      <c r="E85" s="221"/>
      <c r="F85" s="197">
        <v>1133856</v>
      </c>
      <c r="G85" s="197">
        <v>1678.598</v>
      </c>
      <c r="H85" s="241">
        <f t="shared" si="267"/>
        <v>675.47798817822968</v>
      </c>
      <c r="I85" s="241">
        <f t="shared" si="279"/>
        <v>2.485052110324415</v>
      </c>
      <c r="J85" s="212">
        <v>1</v>
      </c>
      <c r="K85" s="213">
        <v>2.12843137254902</v>
      </c>
      <c r="L85" s="213">
        <v>1.95</v>
      </c>
      <c r="M85" s="213">
        <v>3.85</v>
      </c>
      <c r="N85" s="241">
        <f t="shared" ref="N85:N95" si="289">F85*MAX(0.1,(K85-S85))</f>
        <v>1105658.504352418</v>
      </c>
      <c r="O85" s="221"/>
      <c r="P85" s="241">
        <f t="shared" si="268"/>
        <v>3486.0777822414771</v>
      </c>
      <c r="Q85" s="241">
        <f t="shared" ref="Q85:Q93" si="290">P85</f>
        <v>3486.0777822414771</v>
      </c>
      <c r="R85" s="242">
        <f t="shared" si="189"/>
        <v>2.3066000938400002</v>
      </c>
      <c r="S85" s="213">
        <v>1.1533000469200001</v>
      </c>
      <c r="T85" s="241">
        <f t="shared" si="190"/>
        <v>2615352.3560010474</v>
      </c>
      <c r="U85" s="197">
        <v>0</v>
      </c>
      <c r="V85" s="243">
        <f t="shared" si="191"/>
        <v>1.533360851030815</v>
      </c>
      <c r="W85" s="243">
        <f t="shared" si="192"/>
        <v>4.7943674739227831</v>
      </c>
      <c r="X85" s="241">
        <f t="shared" si="193"/>
        <v>5230704.7120020948</v>
      </c>
      <c r="Y85" s="242">
        <f t="shared" si="194"/>
        <v>0.42275699555948293</v>
      </c>
      <c r="Z85" s="243">
        <f t="shared" si="195"/>
        <v>317.16403747064476</v>
      </c>
      <c r="AA85" s="243">
        <f t="shared" si="196"/>
        <v>6.6646426708862191E-4</v>
      </c>
      <c r="AB85" s="245">
        <f t="shared" si="197"/>
        <v>1.5461324362335477E-3</v>
      </c>
      <c r="AC85" s="245">
        <f t="shared" si="280"/>
        <v>7.7330099180843934</v>
      </c>
      <c r="AD85" s="245">
        <f t="shared" si="198"/>
        <v>2.3654250799010081</v>
      </c>
      <c r="AE85" s="245">
        <f t="shared" si="199"/>
        <v>6.8960538747364348E-4</v>
      </c>
      <c r="AF85" s="221"/>
      <c r="AG85" s="211">
        <v>-73.512658999999999</v>
      </c>
      <c r="AH85" s="242">
        <f>(AG85^2*-0.304-43.623*AG85-1561.6)*0.4012-0.2907</f>
        <v>0.66935934290441734</v>
      </c>
      <c r="AI85" s="242">
        <f t="shared" si="282"/>
        <v>1.7927590205779149</v>
      </c>
      <c r="AJ85" s="242">
        <f t="shared" si="283"/>
        <v>2.5687614080466683</v>
      </c>
      <c r="AK85" s="242">
        <f t="shared" si="284"/>
        <v>1.058212488745043</v>
      </c>
      <c r="AL85" s="242">
        <f t="shared" si="269"/>
        <v>0.8445796201553516</v>
      </c>
      <c r="AM85" s="213">
        <v>1.1533000469200001</v>
      </c>
      <c r="AN85" s="212">
        <v>0.70588235294117696</v>
      </c>
      <c r="AO85" s="212">
        <v>0</v>
      </c>
      <c r="AP85" s="212">
        <v>0</v>
      </c>
      <c r="AQ85" s="484">
        <f t="shared" si="257"/>
        <v>2.1533000469200001</v>
      </c>
      <c r="AR85" s="247" t="str">
        <f t="shared" si="273"/>
        <v>possible if water clarity improves</v>
      </c>
      <c r="AS85" s="221"/>
      <c r="AT85" s="197">
        <v>1952840</v>
      </c>
      <c r="AU85" s="197">
        <v>0</v>
      </c>
      <c r="AV85" s="197">
        <v>0</v>
      </c>
      <c r="AW85" s="197">
        <v>907.60543377003933</v>
      </c>
      <c r="AX85" s="197">
        <v>435.22343890426225</v>
      </c>
      <c r="AY85" s="197">
        <v>477.16966482066357</v>
      </c>
      <c r="AZ85" s="197">
        <v>1133.856</v>
      </c>
      <c r="BA85" s="214"/>
      <c r="BB85" s="197">
        <v>2953.8545374949654</v>
      </c>
      <c r="BC85" s="241">
        <f t="shared" ref="BC85:BC95" si="291">BB85-AU85+AV85</f>
        <v>2953.8545374949654</v>
      </c>
      <c r="BD85" s="241">
        <f t="shared" si="200"/>
        <v>26.051408093223174</v>
      </c>
      <c r="BE85" s="241">
        <f t="shared" si="287"/>
        <v>2953.8545374949654</v>
      </c>
      <c r="BF85" s="241">
        <f t="shared" ref="BF85:BF96" si="292">BD85</f>
        <v>26.051408093223174</v>
      </c>
      <c r="BG85" s="248">
        <f t="shared" si="288"/>
        <v>0</v>
      </c>
      <c r="BH85" s="221"/>
      <c r="BI85" s="213">
        <f t="shared" si="258"/>
        <v>0</v>
      </c>
      <c r="BJ85" s="197">
        <v>0</v>
      </c>
      <c r="BK85" s="213">
        <v>0</v>
      </c>
      <c r="BL85" s="197">
        <f t="shared" si="281"/>
        <v>0</v>
      </c>
      <c r="BM85" s="197"/>
      <c r="BN85" s="221"/>
      <c r="BO85" s="241">
        <f t="shared" si="201"/>
        <v>113.3856</v>
      </c>
      <c r="BP85" s="241">
        <f t="shared" si="202"/>
        <v>2.485052110324415</v>
      </c>
      <c r="BQ85" s="242">
        <f t="shared" si="214"/>
        <v>3.85</v>
      </c>
      <c r="BR85" s="241">
        <f t="shared" si="203"/>
        <v>0</v>
      </c>
      <c r="BS85" s="244">
        <f t="shared" si="204"/>
        <v>6.6646426708862191E-4</v>
      </c>
      <c r="BT85" s="242">
        <f t="shared" si="205"/>
        <v>7.7330099180843934</v>
      </c>
      <c r="BU85" s="241">
        <f t="shared" si="206"/>
        <v>0</v>
      </c>
      <c r="BV85" s="221"/>
      <c r="CI85" s="221"/>
      <c r="CJ85" s="303" t="str">
        <f t="shared" si="216"/>
        <v>simple complexity hydrodynamics</v>
      </c>
      <c r="CK85" s="304">
        <f t="shared" si="217"/>
        <v>1</v>
      </c>
      <c r="CL85" s="303" t="str">
        <f t="shared" si="218"/>
        <v>complex water quality</v>
      </c>
      <c r="CM85" s="304">
        <f t="shared" si="219"/>
        <v>4</v>
      </c>
      <c r="CN85" s="303" t="str">
        <f t="shared" si="220"/>
        <v>moderate</v>
      </c>
      <c r="CO85" s="304">
        <f t="shared" si="221"/>
        <v>2</v>
      </c>
      <c r="CP85" s="303" t="str">
        <f t="shared" si="222"/>
        <v>mid-size</v>
      </c>
      <c r="CQ85" s="304">
        <f t="shared" si="223"/>
        <v>4</v>
      </c>
      <c r="CR85" s="303" t="str">
        <f t="shared" si="224"/>
        <v>very low</v>
      </c>
      <c r="CS85" s="304">
        <f t="shared" si="225"/>
        <v>1</v>
      </c>
      <c r="CT85" s="303" t="str">
        <f t="shared" si="226"/>
        <v>none</v>
      </c>
      <c r="CU85" s="304">
        <f t="shared" si="227"/>
        <v>1</v>
      </c>
      <c r="CV85" s="304">
        <f t="shared" si="228"/>
        <v>122</v>
      </c>
      <c r="CW85" s="304" t="str">
        <f t="shared" si="229"/>
        <v>intermediate complexity hydrodynamics</v>
      </c>
      <c r="CX85" s="304">
        <f t="shared" si="271"/>
        <v>118</v>
      </c>
      <c r="CY85" s="304" t="str">
        <f t="shared" si="230"/>
        <v>intermediate complexity water quality</v>
      </c>
      <c r="CZ85" s="216" t="s">
        <v>649</v>
      </c>
      <c r="DA85" s="252" t="str">
        <f t="shared" si="276"/>
        <v>-</v>
      </c>
      <c r="DB85" s="251" t="str">
        <f t="shared" si="259"/>
        <v>intermediate complexity hydrodynamics; intermediate complexity water quality</v>
      </c>
      <c r="DC85" s="227"/>
      <c r="DD85" s="475" t="str">
        <f t="shared" si="260"/>
        <v>Wescott Cove</v>
      </c>
      <c r="DE85" s="475">
        <f t="shared" si="261"/>
        <v>74</v>
      </c>
      <c r="DF85" s="465">
        <f t="shared" si="231"/>
        <v>1.95</v>
      </c>
      <c r="DG85" s="466">
        <f t="shared" si="232"/>
        <v>1.1299999999999999</v>
      </c>
      <c r="DH85" s="465">
        <f t="shared" si="233"/>
        <v>1.68</v>
      </c>
      <c r="DI85" s="465">
        <f t="shared" si="234"/>
        <v>675.5</v>
      </c>
      <c r="DJ85" s="465">
        <f t="shared" si="235"/>
        <v>2</v>
      </c>
      <c r="DK85" s="465">
        <f t="shared" si="236"/>
        <v>2.1</v>
      </c>
      <c r="DL85" s="465">
        <f t="shared" si="237"/>
        <v>2</v>
      </c>
      <c r="DM85" s="465">
        <f t="shared" si="238"/>
        <v>3.9</v>
      </c>
      <c r="DN85" s="465">
        <f t="shared" si="239"/>
        <v>100</v>
      </c>
      <c r="DO85" s="465">
        <f t="shared" si="240"/>
        <v>1105659</v>
      </c>
      <c r="DP85" s="465">
        <f t="shared" si="241"/>
        <v>2615352</v>
      </c>
      <c r="DQ85" s="467">
        <f t="shared" si="242"/>
        <v>2.31</v>
      </c>
      <c r="DR85" s="467">
        <f t="shared" si="243"/>
        <v>0</v>
      </c>
      <c r="DS85" s="467">
        <f t="shared" si="244"/>
        <v>3486</v>
      </c>
      <c r="DT85" s="467">
        <f t="shared" si="245"/>
        <v>317.2</v>
      </c>
      <c r="DU85" s="467">
        <f t="shared" si="246"/>
        <v>0.4</v>
      </c>
      <c r="DV85" s="467">
        <f t="shared" si="247"/>
        <v>0</v>
      </c>
      <c r="DW85" s="467">
        <f t="shared" si="248"/>
        <v>0</v>
      </c>
      <c r="DX85" s="467">
        <f t="shared" si="249"/>
        <v>71</v>
      </c>
      <c r="DY85" s="467">
        <f t="shared" si="250"/>
        <v>0</v>
      </c>
      <c r="DZ85" s="467">
        <f t="shared" si="251"/>
        <v>0</v>
      </c>
      <c r="EA85" s="467">
        <f t="shared" si="252"/>
        <v>2954</v>
      </c>
      <c r="EB85" s="467">
        <f t="shared" si="253"/>
        <v>26</v>
      </c>
      <c r="EC85" s="467">
        <f t="shared" si="254"/>
        <v>0</v>
      </c>
      <c r="ED85" s="467">
        <f t="shared" si="255"/>
        <v>6.7000000000000002E-4</v>
      </c>
      <c r="EE85" s="467">
        <f t="shared" si="256"/>
        <v>7.73</v>
      </c>
      <c r="EF85" s="138">
        <f t="shared" si="262"/>
        <v>2.15</v>
      </c>
      <c r="EG85" s="138" t="str">
        <f t="shared" si="263"/>
        <v>possible if water clarity improves</v>
      </c>
      <c r="EH85" s="138">
        <f t="shared" si="264"/>
        <v>2.57</v>
      </c>
      <c r="EI85" s="138">
        <f t="shared" si="265"/>
        <v>1.06</v>
      </c>
      <c r="EJ85" s="138">
        <f t="shared" si="266"/>
        <v>0.84</v>
      </c>
    </row>
    <row r="86" spans="1:140" ht="44" customHeight="1" x14ac:dyDescent="0.35">
      <c r="A86" s="388">
        <v>75</v>
      </c>
      <c r="B86" s="215" t="s">
        <v>248</v>
      </c>
      <c r="C86" s="210">
        <v>75</v>
      </c>
      <c r="D86" s="196"/>
      <c r="E86" s="221"/>
      <c r="F86" s="197">
        <v>3104133.9101789999</v>
      </c>
      <c r="G86" s="197">
        <v>4101.5860000000002</v>
      </c>
      <c r="H86" s="241">
        <f t="shared" si="267"/>
        <v>756.81307430320851</v>
      </c>
      <c r="I86" s="241">
        <f t="shared" si="279"/>
        <v>5.4195496077763936</v>
      </c>
      <c r="J86" s="212">
        <v>0.75066542469671704</v>
      </c>
      <c r="K86" s="213">
        <v>2.6267745825911102</v>
      </c>
      <c r="L86" s="213">
        <v>2.5499999999999998</v>
      </c>
      <c r="M86" s="213">
        <v>7.86</v>
      </c>
      <c r="N86" s="241">
        <f t="shared" si="289"/>
        <v>4568275.0138812801</v>
      </c>
      <c r="O86" s="221"/>
      <c r="P86" s="241">
        <f t="shared" si="268"/>
        <v>135817.18040834906</v>
      </c>
      <c r="Q86" s="241">
        <f t="shared" si="290"/>
        <v>135817.18040834906</v>
      </c>
      <c r="R86" s="242">
        <f t="shared" si="189"/>
        <v>2.3101999759599998</v>
      </c>
      <c r="S86" s="213">
        <v>1.1550999879799999</v>
      </c>
      <c r="T86" s="241">
        <f t="shared" si="190"/>
        <v>7171170.0846721455</v>
      </c>
      <c r="U86" s="197">
        <v>2</v>
      </c>
      <c r="V86" s="243">
        <f t="shared" si="191"/>
        <v>3.3228061361256356</v>
      </c>
      <c r="W86" s="243">
        <f t="shared" si="192"/>
        <v>10.456544956709868</v>
      </c>
      <c r="X86" s="241">
        <f t="shared" si="193"/>
        <v>14342340.169344291</v>
      </c>
      <c r="Y86" s="242">
        <f t="shared" si="194"/>
        <v>0.63703342131650675</v>
      </c>
      <c r="Z86" s="243">
        <f t="shared" si="195"/>
        <v>33.635472332338715</v>
      </c>
      <c r="AA86" s="243">
        <f t="shared" si="196"/>
        <v>9.4696666516562202E-3</v>
      </c>
      <c r="AB86" s="245">
        <f t="shared" si="197"/>
        <v>1.7903025482902277E-2</v>
      </c>
      <c r="AC86" s="245">
        <f t="shared" si="280"/>
        <v>6.3018851460032064</v>
      </c>
      <c r="AD86" s="245">
        <f t="shared" si="198"/>
        <v>1.5697763516604495</v>
      </c>
      <c r="AE86" s="245">
        <f t="shared" si="199"/>
        <v>9.7984745215053941E-3</v>
      </c>
      <c r="AF86" s="221"/>
      <c r="AG86" s="211">
        <v>-73.541135999999995</v>
      </c>
      <c r="AH86" s="246">
        <v>1.2285889072671372</v>
      </c>
      <c r="AI86" s="246">
        <f t="shared" si="282"/>
        <v>0.97673029025572911</v>
      </c>
      <c r="AJ86" s="246">
        <f t="shared" si="283"/>
        <v>4.7148841721519235</v>
      </c>
      <c r="AK86" s="246">
        <f t="shared" si="284"/>
        <v>1.942317140987994</v>
      </c>
      <c r="AL86" s="246">
        <f t="shared" si="269"/>
        <v>1.5502004470787367</v>
      </c>
      <c r="AM86" s="218">
        <v>1.1550999879799999</v>
      </c>
      <c r="AN86" s="212">
        <v>0.92640406404529496</v>
      </c>
      <c r="AO86" s="212">
        <v>0.35236581471107697</v>
      </c>
      <c r="AP86" s="212">
        <v>0.260880086071684</v>
      </c>
      <c r="AQ86" s="484">
        <f t="shared" si="257"/>
        <v>2.1550999879799999</v>
      </c>
      <c r="AR86" s="247" t="str">
        <f t="shared" si="273"/>
        <v>possible if water clarity improves</v>
      </c>
      <c r="AS86" s="221"/>
      <c r="AT86" s="197">
        <v>78949820</v>
      </c>
      <c r="AU86" s="197">
        <v>80545.465419999993</v>
      </c>
      <c r="AV86" s="197">
        <v>47240.094826666667</v>
      </c>
      <c r="AW86" s="197">
        <v>20905.966536558961</v>
      </c>
      <c r="AX86" s="197">
        <v>12159.931979218976</v>
      </c>
      <c r="AY86" s="197">
        <v>11980.6869495584</v>
      </c>
      <c r="AZ86" s="197">
        <v>2322.3490000000002</v>
      </c>
      <c r="BA86" s="214"/>
      <c r="BB86" s="197">
        <v>127914.39988533633</v>
      </c>
      <c r="BC86" s="241">
        <f t="shared" si="291"/>
        <v>94609.029292003004</v>
      </c>
      <c r="BD86" s="241">
        <f t="shared" si="200"/>
        <v>304.78398171471724</v>
      </c>
      <c r="BE86" s="241">
        <f t="shared" si="287"/>
        <v>94609.029292003004</v>
      </c>
      <c r="BF86" s="241">
        <f t="shared" si="292"/>
        <v>304.78398171471724</v>
      </c>
      <c r="BG86" s="248">
        <f t="shared" si="288"/>
        <v>49.931909438436357</v>
      </c>
      <c r="BH86" s="221"/>
      <c r="BI86" s="213">
        <f t="shared" si="258"/>
        <v>0</v>
      </c>
      <c r="BJ86" s="197">
        <v>0</v>
      </c>
      <c r="BK86" s="213">
        <v>0</v>
      </c>
      <c r="BL86" s="197">
        <f t="shared" si="281"/>
        <v>0</v>
      </c>
      <c r="BM86" s="197"/>
      <c r="BN86" s="221"/>
      <c r="BO86" s="241">
        <f t="shared" si="201"/>
        <v>310.41339101789998</v>
      </c>
      <c r="BP86" s="241">
        <f t="shared" si="202"/>
        <v>5.4195496077763936</v>
      </c>
      <c r="BQ86" s="242">
        <f t="shared" si="214"/>
        <v>7.86</v>
      </c>
      <c r="BR86" s="241">
        <f t="shared" si="203"/>
        <v>2</v>
      </c>
      <c r="BS86" s="244">
        <f t="shared" si="204"/>
        <v>9.4696666516562202E-3</v>
      </c>
      <c r="BT86" s="242">
        <f t="shared" si="205"/>
        <v>6.3018851460032064</v>
      </c>
      <c r="BU86" s="241">
        <f t="shared" si="206"/>
        <v>49.931909438436357</v>
      </c>
      <c r="BV86" s="221"/>
      <c r="CI86" s="221"/>
      <c r="CJ86" s="303" t="str">
        <f t="shared" si="216"/>
        <v>intermediate complexity hydrodynamics</v>
      </c>
      <c r="CK86" s="304">
        <f t="shared" si="217"/>
        <v>2</v>
      </c>
      <c r="CL86" s="303" t="str">
        <f t="shared" si="218"/>
        <v>complex water quality</v>
      </c>
      <c r="CM86" s="304">
        <f t="shared" si="219"/>
        <v>4</v>
      </c>
      <c r="CN86" s="303" t="str">
        <f t="shared" si="220"/>
        <v>moderate</v>
      </c>
      <c r="CO86" s="304">
        <f t="shared" si="221"/>
        <v>2</v>
      </c>
      <c r="CP86" s="303" t="str">
        <f t="shared" si="222"/>
        <v>mid-size</v>
      </c>
      <c r="CQ86" s="304">
        <f t="shared" si="223"/>
        <v>4</v>
      </c>
      <c r="CR86" s="303" t="str">
        <f t="shared" si="224"/>
        <v>very low</v>
      </c>
      <c r="CS86" s="304">
        <f t="shared" si="225"/>
        <v>1</v>
      </c>
      <c r="CT86" s="303" t="str">
        <f t="shared" si="226"/>
        <v>mid-estuary</v>
      </c>
      <c r="CU86" s="304">
        <f t="shared" si="227"/>
        <v>3</v>
      </c>
      <c r="CV86" s="304">
        <f t="shared" si="228"/>
        <v>144</v>
      </c>
      <c r="CW86" s="304" t="str">
        <f t="shared" si="229"/>
        <v>complex hydrodynamics</v>
      </c>
      <c r="CX86" s="304">
        <f t="shared" si="271"/>
        <v>120</v>
      </c>
      <c r="CY86" s="304" t="str">
        <f t="shared" si="230"/>
        <v>complex water quality</v>
      </c>
      <c r="CZ86" s="216" t="s">
        <v>630</v>
      </c>
      <c r="DA86" s="252" t="str">
        <f t="shared" si="276"/>
        <v>WASP</v>
      </c>
      <c r="DB86" s="251" t="str">
        <f t="shared" si="259"/>
        <v>complex hydrodynamics; complex water quality (WASP)</v>
      </c>
      <c r="DC86" s="227"/>
      <c r="DD86" s="475" t="str">
        <f t="shared" si="260"/>
        <v>Stamford Harbor</v>
      </c>
      <c r="DE86" s="475">
        <f t="shared" si="261"/>
        <v>75</v>
      </c>
      <c r="DF86" s="465">
        <f t="shared" si="231"/>
        <v>78.95</v>
      </c>
      <c r="DG86" s="466">
        <f t="shared" si="232"/>
        <v>3.1</v>
      </c>
      <c r="DH86" s="465">
        <f t="shared" si="233"/>
        <v>4.0999999999999996</v>
      </c>
      <c r="DI86" s="465">
        <f t="shared" si="234"/>
        <v>756.8</v>
      </c>
      <c r="DJ86" s="465">
        <f t="shared" si="235"/>
        <v>5</v>
      </c>
      <c r="DK86" s="465">
        <f t="shared" si="236"/>
        <v>2.6</v>
      </c>
      <c r="DL86" s="465">
        <f t="shared" si="237"/>
        <v>2.6</v>
      </c>
      <c r="DM86" s="465">
        <f t="shared" si="238"/>
        <v>7.9</v>
      </c>
      <c r="DN86" s="465">
        <f t="shared" si="239"/>
        <v>75</v>
      </c>
      <c r="DO86" s="465">
        <f t="shared" si="240"/>
        <v>4568275</v>
      </c>
      <c r="DP86" s="465">
        <f t="shared" si="241"/>
        <v>7171170</v>
      </c>
      <c r="DQ86" s="467">
        <f t="shared" si="242"/>
        <v>2.31</v>
      </c>
      <c r="DR86" s="467">
        <f t="shared" si="243"/>
        <v>2</v>
      </c>
      <c r="DS86" s="467">
        <f t="shared" si="244"/>
        <v>135817</v>
      </c>
      <c r="DT86" s="467">
        <f t="shared" si="245"/>
        <v>33.6</v>
      </c>
      <c r="DU86" s="467">
        <f t="shared" si="246"/>
        <v>0.6</v>
      </c>
      <c r="DV86" s="467">
        <f t="shared" si="247"/>
        <v>0</v>
      </c>
      <c r="DW86" s="467">
        <f t="shared" si="248"/>
        <v>0</v>
      </c>
      <c r="DX86" s="467">
        <f t="shared" si="249"/>
        <v>93</v>
      </c>
      <c r="DY86" s="467">
        <f t="shared" si="250"/>
        <v>35</v>
      </c>
      <c r="DZ86" s="467">
        <f t="shared" si="251"/>
        <v>26</v>
      </c>
      <c r="EA86" s="467">
        <f t="shared" si="252"/>
        <v>94609</v>
      </c>
      <c r="EB86" s="467">
        <f t="shared" si="253"/>
        <v>305</v>
      </c>
      <c r="EC86" s="467">
        <f t="shared" si="254"/>
        <v>50</v>
      </c>
      <c r="ED86" s="467">
        <f t="shared" si="255"/>
        <v>9.4699999999999993E-3</v>
      </c>
      <c r="EE86" s="467">
        <f t="shared" si="256"/>
        <v>6.3</v>
      </c>
      <c r="EF86" s="138">
        <f t="shared" si="262"/>
        <v>2.16</v>
      </c>
      <c r="EG86" s="138" t="str">
        <f t="shared" si="263"/>
        <v>possible if water clarity improves</v>
      </c>
      <c r="EH86" s="138">
        <f t="shared" si="264"/>
        <v>4.71</v>
      </c>
      <c r="EI86" s="138">
        <f t="shared" si="265"/>
        <v>1.94</v>
      </c>
      <c r="EJ86" s="138">
        <f t="shared" si="266"/>
        <v>1.55</v>
      </c>
    </row>
    <row r="87" spans="1:140" ht="44" customHeight="1" x14ac:dyDescent="0.35">
      <c r="A87" s="388">
        <v>76</v>
      </c>
      <c r="B87" s="215" t="s">
        <v>467</v>
      </c>
      <c r="C87" s="210">
        <v>76</v>
      </c>
      <c r="D87" s="196"/>
      <c r="E87" s="221"/>
      <c r="F87" s="197">
        <v>2173371</v>
      </c>
      <c r="G87" s="197">
        <v>3145.0210000000002</v>
      </c>
      <c r="H87" s="241">
        <f t="shared" si="267"/>
        <v>691.05134751087508</v>
      </c>
      <c r="I87" s="241">
        <f t="shared" si="279"/>
        <v>4.5510670246547882</v>
      </c>
      <c r="J87" s="212">
        <v>0.67573644812597577</v>
      </c>
      <c r="K87" s="213">
        <v>1.6886846956705901</v>
      </c>
      <c r="L87" s="213">
        <v>1.35</v>
      </c>
      <c r="M87" s="213">
        <v>5.36</v>
      </c>
      <c r="N87" s="241">
        <f t="shared" si="289"/>
        <v>1153374.744297107</v>
      </c>
      <c r="O87" s="221"/>
      <c r="P87" s="241">
        <f t="shared" si="268"/>
        <v>8697.7388343103521</v>
      </c>
      <c r="Q87" s="241">
        <f t="shared" si="290"/>
        <v>8697.7388343103521</v>
      </c>
      <c r="R87" s="242">
        <f t="shared" si="189"/>
        <v>2.3159999847399999</v>
      </c>
      <c r="S87" s="213">
        <v>1.15799999237</v>
      </c>
      <c r="T87" s="241">
        <f t="shared" si="190"/>
        <v>5033527.2028343584</v>
      </c>
      <c r="U87" s="197">
        <v>0</v>
      </c>
      <c r="V87" s="243">
        <f t="shared" si="191"/>
        <v>2.6648498301196044</v>
      </c>
      <c r="W87" s="243">
        <f t="shared" si="192"/>
        <v>8.3644699919910295</v>
      </c>
      <c r="X87" s="241">
        <f t="shared" si="193"/>
        <v>10067054.405668717</v>
      </c>
      <c r="Y87" s="242">
        <f t="shared" si="194"/>
        <v>0.2291384744374971</v>
      </c>
      <c r="Z87" s="243">
        <f t="shared" si="195"/>
        <v>132.60627460407744</v>
      </c>
      <c r="AA87" s="243">
        <f t="shared" si="196"/>
        <v>8.6398051344717982E-4</v>
      </c>
      <c r="AB87" s="245">
        <f t="shared" si="197"/>
        <v>1.4018139995578239E-3</v>
      </c>
      <c r="AC87" s="245">
        <f t="shared" si="280"/>
        <v>5.4083550023782836</v>
      </c>
      <c r="AD87" s="245">
        <f t="shared" si="198"/>
        <v>4.3641732470064669</v>
      </c>
      <c r="AE87" s="245">
        <f t="shared" si="199"/>
        <v>8.9397983683076239E-4</v>
      </c>
      <c r="AF87" s="221"/>
      <c r="AG87" s="211">
        <v>-73.587322</v>
      </c>
      <c r="AH87" s="242">
        <f t="shared" ref="AH87:AH92" si="293">(AG87^2*-0.304-43.623*AG87-1561.6)*0.4012-0.2907</f>
        <v>0.6365470328231575</v>
      </c>
      <c r="AI87" s="242">
        <f t="shared" si="282"/>
        <v>1.8851709899233453</v>
      </c>
      <c r="AJ87" s="242">
        <f t="shared" si="283"/>
        <v>2.4428395146136563</v>
      </c>
      <c r="AK87" s="242">
        <f t="shared" si="284"/>
        <v>1.0063384144071843</v>
      </c>
      <c r="AL87" s="242">
        <f t="shared" si="269"/>
        <v>0.80317792960061563</v>
      </c>
      <c r="AM87" s="213">
        <v>1.15799999237</v>
      </c>
      <c r="AN87" s="212">
        <v>0.87451022923770105</v>
      </c>
      <c r="AO87" s="212">
        <v>0.18014871828141599</v>
      </c>
      <c r="AP87" s="212">
        <v>0.14411897462513301</v>
      </c>
      <c r="AQ87" s="484">
        <f t="shared" si="257"/>
        <v>2.1579999923699997</v>
      </c>
      <c r="AR87" s="247" t="str">
        <f t="shared" si="273"/>
        <v>possible if water clarity improves</v>
      </c>
      <c r="AS87" s="221"/>
      <c r="AT87" s="197">
        <v>4917527</v>
      </c>
      <c r="AU87" s="197">
        <v>0</v>
      </c>
      <c r="AV87" s="197">
        <v>0</v>
      </c>
      <c r="AW87" s="197">
        <v>891.38344228824917</v>
      </c>
      <c r="AX87" s="197">
        <v>1110.4663211665791</v>
      </c>
      <c r="AY87" s="197">
        <v>980.15983701244636</v>
      </c>
      <c r="AZ87" s="197">
        <v>2173.3710000000001</v>
      </c>
      <c r="BA87" s="214"/>
      <c r="BB87" s="197">
        <v>5155.3806004672751</v>
      </c>
      <c r="BC87" s="241">
        <f t="shared" si="291"/>
        <v>5155.3806004672751</v>
      </c>
      <c r="BD87" s="241">
        <f t="shared" si="200"/>
        <v>23.720665272828594</v>
      </c>
      <c r="BE87" s="241">
        <f t="shared" si="287"/>
        <v>5155.3806004672751</v>
      </c>
      <c r="BF87" s="241">
        <f t="shared" si="292"/>
        <v>23.720665272828594</v>
      </c>
      <c r="BG87" s="248">
        <f t="shared" si="288"/>
        <v>0</v>
      </c>
      <c r="BH87" s="221"/>
      <c r="BI87" s="213">
        <f t="shared" si="258"/>
        <v>2.7063975</v>
      </c>
      <c r="BJ87" s="197">
        <v>10825.59</v>
      </c>
      <c r="BK87" s="213">
        <v>0</v>
      </c>
      <c r="BL87" s="197">
        <f t="shared" si="281"/>
        <v>0</v>
      </c>
      <c r="BM87" s="197"/>
      <c r="BN87" s="221"/>
      <c r="BO87" s="241">
        <f t="shared" si="201"/>
        <v>217.33709999999999</v>
      </c>
      <c r="BP87" s="241">
        <f t="shared" si="202"/>
        <v>4.5510670246547882</v>
      </c>
      <c r="BQ87" s="242">
        <f t="shared" si="214"/>
        <v>5.36</v>
      </c>
      <c r="BR87" s="241">
        <f t="shared" si="203"/>
        <v>0</v>
      </c>
      <c r="BS87" s="244">
        <f t="shared" si="204"/>
        <v>8.6398051344717982E-4</v>
      </c>
      <c r="BT87" s="242">
        <f t="shared" si="205"/>
        <v>5.4083550023782836</v>
      </c>
      <c r="BU87" s="241">
        <f t="shared" si="206"/>
        <v>0</v>
      </c>
      <c r="BV87" s="221"/>
      <c r="CI87" s="221"/>
      <c r="CJ87" s="303" t="str">
        <f t="shared" si="216"/>
        <v>simple complexity hydrodynamics</v>
      </c>
      <c r="CK87" s="304">
        <f t="shared" si="217"/>
        <v>1</v>
      </c>
      <c r="CL87" s="303" t="str">
        <f t="shared" si="218"/>
        <v>complex water quality</v>
      </c>
      <c r="CM87" s="304">
        <f t="shared" si="219"/>
        <v>4</v>
      </c>
      <c r="CN87" s="303" t="str">
        <f t="shared" si="220"/>
        <v>moderate</v>
      </c>
      <c r="CO87" s="304">
        <f t="shared" si="221"/>
        <v>2</v>
      </c>
      <c r="CP87" s="303" t="str">
        <f t="shared" si="222"/>
        <v>mid-size</v>
      </c>
      <c r="CQ87" s="304">
        <f t="shared" si="223"/>
        <v>4</v>
      </c>
      <c r="CR87" s="303" t="str">
        <f t="shared" si="224"/>
        <v>very low</v>
      </c>
      <c r="CS87" s="304">
        <f t="shared" si="225"/>
        <v>1</v>
      </c>
      <c r="CT87" s="303" t="str">
        <f t="shared" si="226"/>
        <v>none</v>
      </c>
      <c r="CU87" s="304">
        <f t="shared" si="227"/>
        <v>1</v>
      </c>
      <c r="CV87" s="304">
        <f t="shared" si="228"/>
        <v>122</v>
      </c>
      <c r="CW87" s="304" t="str">
        <f t="shared" si="229"/>
        <v>intermediate complexity hydrodynamics</v>
      </c>
      <c r="CX87" s="304">
        <f t="shared" si="271"/>
        <v>118</v>
      </c>
      <c r="CY87" s="304" t="str">
        <f t="shared" si="230"/>
        <v>intermediate complexity water quality</v>
      </c>
      <c r="CZ87" s="216" t="s">
        <v>649</v>
      </c>
      <c r="DA87" s="252" t="str">
        <f t="shared" si="276"/>
        <v>-</v>
      </c>
      <c r="DB87" s="251" t="str">
        <f t="shared" si="259"/>
        <v>intermediate complexity hydrodynamics; intermediate complexity water quality</v>
      </c>
      <c r="DC87" s="227"/>
      <c r="DD87" s="475" t="str">
        <f t="shared" si="260"/>
        <v>Greenwich Cove</v>
      </c>
      <c r="DE87" s="475">
        <f t="shared" si="261"/>
        <v>76</v>
      </c>
      <c r="DF87" s="465">
        <f t="shared" si="231"/>
        <v>4.92</v>
      </c>
      <c r="DG87" s="466">
        <f t="shared" si="232"/>
        <v>2.17</v>
      </c>
      <c r="DH87" s="465">
        <f t="shared" si="233"/>
        <v>3.15</v>
      </c>
      <c r="DI87" s="465">
        <f t="shared" si="234"/>
        <v>691.1</v>
      </c>
      <c r="DJ87" s="465">
        <f t="shared" si="235"/>
        <v>5</v>
      </c>
      <c r="DK87" s="465">
        <f t="shared" si="236"/>
        <v>1.7</v>
      </c>
      <c r="DL87" s="465">
        <f t="shared" si="237"/>
        <v>1.4</v>
      </c>
      <c r="DM87" s="465">
        <f t="shared" si="238"/>
        <v>5.4</v>
      </c>
      <c r="DN87" s="465">
        <f t="shared" si="239"/>
        <v>68</v>
      </c>
      <c r="DO87" s="465">
        <f t="shared" si="240"/>
        <v>1153375</v>
      </c>
      <c r="DP87" s="465">
        <f t="shared" si="241"/>
        <v>5033527</v>
      </c>
      <c r="DQ87" s="467">
        <f t="shared" si="242"/>
        <v>2.3199999999999998</v>
      </c>
      <c r="DR87" s="467">
        <f t="shared" si="243"/>
        <v>0</v>
      </c>
      <c r="DS87" s="467">
        <f t="shared" si="244"/>
        <v>8698</v>
      </c>
      <c r="DT87" s="467">
        <f t="shared" si="245"/>
        <v>132.6</v>
      </c>
      <c r="DU87" s="467">
        <f t="shared" si="246"/>
        <v>0.2</v>
      </c>
      <c r="DV87" s="467">
        <f t="shared" si="247"/>
        <v>2.71</v>
      </c>
      <c r="DW87" s="467">
        <f t="shared" si="248"/>
        <v>0</v>
      </c>
      <c r="DX87" s="467">
        <f t="shared" si="249"/>
        <v>87</v>
      </c>
      <c r="DY87" s="467">
        <f t="shared" si="250"/>
        <v>18</v>
      </c>
      <c r="DZ87" s="467">
        <f t="shared" si="251"/>
        <v>14</v>
      </c>
      <c r="EA87" s="467">
        <f t="shared" si="252"/>
        <v>5155</v>
      </c>
      <c r="EB87" s="467">
        <f t="shared" si="253"/>
        <v>24</v>
      </c>
      <c r="EC87" s="467">
        <f t="shared" si="254"/>
        <v>0</v>
      </c>
      <c r="ED87" s="467">
        <f t="shared" si="255"/>
        <v>8.5999999999999998E-4</v>
      </c>
      <c r="EE87" s="467">
        <f t="shared" si="256"/>
        <v>5.41</v>
      </c>
      <c r="EF87" s="138">
        <f t="shared" si="262"/>
        <v>2.16</v>
      </c>
      <c r="EG87" s="138" t="str">
        <f t="shared" si="263"/>
        <v>possible if water clarity improves</v>
      </c>
      <c r="EH87" s="138">
        <f t="shared" si="264"/>
        <v>2.44</v>
      </c>
      <c r="EI87" s="138">
        <f t="shared" si="265"/>
        <v>1.01</v>
      </c>
      <c r="EJ87" s="138">
        <f t="shared" si="266"/>
        <v>0.8</v>
      </c>
    </row>
    <row r="88" spans="1:140" ht="44" customHeight="1" x14ac:dyDescent="0.35">
      <c r="A88" s="388">
        <v>77</v>
      </c>
      <c r="B88" s="215" t="s">
        <v>468</v>
      </c>
      <c r="C88" s="210">
        <v>77</v>
      </c>
      <c r="D88" s="196"/>
      <c r="E88" s="221"/>
      <c r="F88" s="197">
        <v>1790604</v>
      </c>
      <c r="G88" s="197">
        <v>3594.7249999999999</v>
      </c>
      <c r="H88" s="241">
        <f t="shared" si="267"/>
        <v>498.11988399668962</v>
      </c>
      <c r="I88" s="241">
        <f t="shared" si="279"/>
        <v>7.2165860377978595</v>
      </c>
      <c r="J88" s="212">
        <v>0.57829871931482335</v>
      </c>
      <c r="K88" s="213">
        <v>1.71892979658904</v>
      </c>
      <c r="L88" s="213">
        <v>1.55</v>
      </c>
      <c r="M88" s="213">
        <v>5.96</v>
      </c>
      <c r="N88" s="241">
        <f t="shared" si="289"/>
        <v>1006909.9858311455</v>
      </c>
      <c r="O88" s="221"/>
      <c r="P88" s="241">
        <f t="shared" si="268"/>
        <v>153426.4317623321</v>
      </c>
      <c r="Q88" s="241">
        <f t="shared" si="290"/>
        <v>153426.4317623321</v>
      </c>
      <c r="R88" s="242">
        <f t="shared" si="189"/>
        <v>2.3131999969399999</v>
      </c>
      <c r="S88" s="213">
        <v>1.1565999984699999</v>
      </c>
      <c r="T88" s="241">
        <f t="shared" si="190"/>
        <v>4142025.1673207516</v>
      </c>
      <c r="U88" s="197">
        <v>0</v>
      </c>
      <c r="V88" s="243">
        <f t="shared" si="191"/>
        <v>2.8968318118248439</v>
      </c>
      <c r="W88" s="243">
        <f t="shared" si="192"/>
        <v>9.1133009467998942</v>
      </c>
      <c r="X88" s="241">
        <f t="shared" si="193"/>
        <v>8284050.3346415032</v>
      </c>
      <c r="Y88" s="242">
        <f t="shared" si="194"/>
        <v>0.24309605691808489</v>
      </c>
      <c r="Z88" s="243">
        <f t="shared" si="195"/>
        <v>6.5628195498342627</v>
      </c>
      <c r="AA88" s="243">
        <f t="shared" si="196"/>
        <v>1.8520702502343223E-2</v>
      </c>
      <c r="AB88" s="245">
        <f t="shared" si="197"/>
        <v>1.0313048211677282E-2</v>
      </c>
      <c r="AC88" s="245">
        <f t="shared" si="280"/>
        <v>1.8561297752020087</v>
      </c>
      <c r="AD88" s="245">
        <f t="shared" si="198"/>
        <v>4.1136002478928155</v>
      </c>
      <c r="AE88" s="245">
        <f t="shared" si="199"/>
        <v>1.9163782450341251E-2</v>
      </c>
      <c r="AF88" s="221"/>
      <c r="AG88" s="211">
        <v>-73.599542</v>
      </c>
      <c r="AH88" s="242">
        <f t="shared" si="293"/>
        <v>0.63104719171578494</v>
      </c>
      <c r="AI88" s="242">
        <f t="shared" si="282"/>
        <v>1.9016010462502202</v>
      </c>
      <c r="AJ88" s="242">
        <f t="shared" si="283"/>
        <v>2.4217330943675366</v>
      </c>
      <c r="AK88" s="242">
        <f t="shared" si="284"/>
        <v>0.99764353234177316</v>
      </c>
      <c r="AL88" s="242">
        <f t="shared" si="269"/>
        <v>0.79623837797917396</v>
      </c>
      <c r="AM88" s="213">
        <v>1.1565999984699999</v>
      </c>
      <c r="AN88" s="212">
        <v>0.81376820903420899</v>
      </c>
      <c r="AO88" s="212">
        <v>0.23427848926954301</v>
      </c>
      <c r="AP88" s="212">
        <v>0.187422791415634</v>
      </c>
      <c r="AQ88" s="484">
        <f t="shared" si="257"/>
        <v>2.1565999984699999</v>
      </c>
      <c r="AR88" s="247" t="str">
        <f t="shared" si="273"/>
        <v>possible if water clarity improves</v>
      </c>
      <c r="AS88" s="221"/>
      <c r="AT88" s="197">
        <v>89295880</v>
      </c>
      <c r="AU88" s="197">
        <v>0</v>
      </c>
      <c r="AV88" s="197">
        <v>0</v>
      </c>
      <c r="AW88" s="197">
        <v>12124.739168322041</v>
      </c>
      <c r="AX88" s="197">
        <v>11670.193445683521</v>
      </c>
      <c r="AY88" s="197">
        <v>6175.3415930372721</v>
      </c>
      <c r="AZ88" s="197">
        <v>1790.604</v>
      </c>
      <c r="BA88" s="214"/>
      <c r="BB88" s="197">
        <v>31760.878207042835</v>
      </c>
      <c r="BC88" s="241">
        <f t="shared" si="291"/>
        <v>31760.878207042835</v>
      </c>
      <c r="BD88" s="241">
        <f t="shared" si="200"/>
        <v>177.37522203146443</v>
      </c>
      <c r="BE88" s="241">
        <f t="shared" si="287"/>
        <v>31760.878207042835</v>
      </c>
      <c r="BF88" s="241">
        <f t="shared" si="292"/>
        <v>177.37522203146443</v>
      </c>
      <c r="BG88" s="248">
        <f t="shared" si="288"/>
        <v>0</v>
      </c>
      <c r="BH88" s="221"/>
      <c r="BI88" s="213">
        <f t="shared" si="258"/>
        <v>3.6333899999999999</v>
      </c>
      <c r="BJ88" s="197">
        <v>14533.56</v>
      </c>
      <c r="BK88" s="213">
        <v>0</v>
      </c>
      <c r="BL88" s="197">
        <f t="shared" si="281"/>
        <v>0</v>
      </c>
      <c r="BM88" s="197"/>
      <c r="BN88" s="221"/>
      <c r="BO88" s="241">
        <f t="shared" si="201"/>
        <v>179.06039999999999</v>
      </c>
      <c r="BP88" s="241">
        <f t="shared" si="202"/>
        <v>7.2165860377978595</v>
      </c>
      <c r="BQ88" s="242">
        <f t="shared" si="214"/>
        <v>5.96</v>
      </c>
      <c r="BR88" s="241">
        <f t="shared" si="203"/>
        <v>0</v>
      </c>
      <c r="BS88" s="244">
        <f t="shared" si="204"/>
        <v>1.8520702502343223E-2</v>
      </c>
      <c r="BT88" s="242">
        <f t="shared" si="205"/>
        <v>1.8561297752020087</v>
      </c>
      <c r="BU88" s="241">
        <f t="shared" si="206"/>
        <v>0</v>
      </c>
      <c r="BV88" s="221"/>
      <c r="CI88" s="221"/>
      <c r="CJ88" s="303" t="str">
        <f t="shared" si="216"/>
        <v>intermediate complexity hydrodynamics</v>
      </c>
      <c r="CK88" s="304">
        <f t="shared" si="217"/>
        <v>2</v>
      </c>
      <c r="CL88" s="303" t="str">
        <f t="shared" si="218"/>
        <v>intermediate complexity water quality</v>
      </c>
      <c r="CM88" s="304">
        <f t="shared" si="219"/>
        <v>2</v>
      </c>
      <c r="CN88" s="303" t="str">
        <f t="shared" si="220"/>
        <v>moderate</v>
      </c>
      <c r="CO88" s="304">
        <f t="shared" si="221"/>
        <v>2</v>
      </c>
      <c r="CP88" s="303" t="str">
        <f t="shared" si="222"/>
        <v>mid-size</v>
      </c>
      <c r="CQ88" s="304">
        <f t="shared" si="223"/>
        <v>4</v>
      </c>
      <c r="CR88" s="303" t="str">
        <f t="shared" si="224"/>
        <v>very low</v>
      </c>
      <c r="CS88" s="304">
        <f t="shared" si="225"/>
        <v>1</v>
      </c>
      <c r="CT88" s="303" t="str">
        <f t="shared" si="226"/>
        <v>none</v>
      </c>
      <c r="CU88" s="304">
        <f t="shared" si="227"/>
        <v>1</v>
      </c>
      <c r="CV88" s="304">
        <f t="shared" si="228"/>
        <v>122</v>
      </c>
      <c r="CW88" s="304" t="str">
        <f t="shared" si="229"/>
        <v>intermediate complexity hydrodynamics</v>
      </c>
      <c r="CX88" s="304">
        <f t="shared" si="271"/>
        <v>88</v>
      </c>
      <c r="CY88" s="304" t="str">
        <f t="shared" si="230"/>
        <v>intermediate complexity water quality</v>
      </c>
      <c r="CZ88" s="216" t="s">
        <v>402</v>
      </c>
      <c r="DA88" s="252" t="str">
        <f t="shared" si="276"/>
        <v>-</v>
      </c>
      <c r="DB88" s="251" t="str">
        <f t="shared" si="259"/>
        <v>intermediate complexity hydrodynamics; intermediate complexity water quality</v>
      </c>
      <c r="DC88" s="227"/>
      <c r="DD88" s="475" t="str">
        <f t="shared" si="260"/>
        <v>Mianus River</v>
      </c>
      <c r="DE88" s="475">
        <f t="shared" si="261"/>
        <v>77</v>
      </c>
      <c r="DF88" s="465">
        <f t="shared" si="231"/>
        <v>89.3</v>
      </c>
      <c r="DG88" s="466">
        <f t="shared" si="232"/>
        <v>1.79</v>
      </c>
      <c r="DH88" s="465">
        <f t="shared" si="233"/>
        <v>3.59</v>
      </c>
      <c r="DI88" s="465">
        <f t="shared" si="234"/>
        <v>498.1</v>
      </c>
      <c r="DJ88" s="465">
        <f t="shared" si="235"/>
        <v>7</v>
      </c>
      <c r="DK88" s="465">
        <f t="shared" si="236"/>
        <v>1.7</v>
      </c>
      <c r="DL88" s="465">
        <f t="shared" si="237"/>
        <v>1.6</v>
      </c>
      <c r="DM88" s="465">
        <f t="shared" si="238"/>
        <v>6</v>
      </c>
      <c r="DN88" s="465">
        <f t="shared" si="239"/>
        <v>58</v>
      </c>
      <c r="DO88" s="465">
        <f t="shared" si="240"/>
        <v>1006910</v>
      </c>
      <c r="DP88" s="465">
        <f t="shared" si="241"/>
        <v>4142025</v>
      </c>
      <c r="DQ88" s="467">
        <f t="shared" si="242"/>
        <v>2.31</v>
      </c>
      <c r="DR88" s="467">
        <f t="shared" si="243"/>
        <v>0</v>
      </c>
      <c r="DS88" s="467">
        <f t="shared" si="244"/>
        <v>153426</v>
      </c>
      <c r="DT88" s="467">
        <f t="shared" si="245"/>
        <v>6.6</v>
      </c>
      <c r="DU88" s="467">
        <f t="shared" si="246"/>
        <v>0.2</v>
      </c>
      <c r="DV88" s="467">
        <f t="shared" si="247"/>
        <v>3.63</v>
      </c>
      <c r="DW88" s="467">
        <f t="shared" si="248"/>
        <v>0</v>
      </c>
      <c r="DX88" s="467">
        <f t="shared" si="249"/>
        <v>81</v>
      </c>
      <c r="DY88" s="467">
        <f t="shared" si="250"/>
        <v>23</v>
      </c>
      <c r="DZ88" s="467">
        <f t="shared" si="251"/>
        <v>19</v>
      </c>
      <c r="EA88" s="467">
        <f t="shared" si="252"/>
        <v>31761</v>
      </c>
      <c r="EB88" s="467">
        <f t="shared" si="253"/>
        <v>177</v>
      </c>
      <c r="EC88" s="467">
        <f t="shared" si="254"/>
        <v>0</v>
      </c>
      <c r="ED88" s="467">
        <f t="shared" si="255"/>
        <v>1.8519999999999998E-2</v>
      </c>
      <c r="EE88" s="467">
        <f t="shared" si="256"/>
        <v>1.86</v>
      </c>
      <c r="EF88" s="138">
        <f t="shared" si="262"/>
        <v>2.16</v>
      </c>
      <c r="EG88" s="138" t="str">
        <f t="shared" si="263"/>
        <v>possible if water clarity improves</v>
      </c>
      <c r="EH88" s="138">
        <f t="shared" si="264"/>
        <v>2.42</v>
      </c>
      <c r="EI88" s="138">
        <f t="shared" si="265"/>
        <v>1</v>
      </c>
      <c r="EJ88" s="138">
        <f t="shared" si="266"/>
        <v>0.8</v>
      </c>
    </row>
    <row r="89" spans="1:140" ht="44" customHeight="1" x14ac:dyDescent="0.35">
      <c r="A89" s="388">
        <v>78</v>
      </c>
      <c r="B89" s="215" t="s">
        <v>469</v>
      </c>
      <c r="C89" s="210">
        <v>78</v>
      </c>
      <c r="D89" s="196"/>
      <c r="E89" s="221"/>
      <c r="F89" s="197">
        <v>233186</v>
      </c>
      <c r="G89" s="197">
        <v>1163.962</v>
      </c>
      <c r="H89" s="241">
        <f t="shared" si="267"/>
        <v>200.33815536933338</v>
      </c>
      <c r="I89" s="241">
        <f t="shared" si="279"/>
        <v>5.8099866091617844</v>
      </c>
      <c r="J89" s="212">
        <v>1</v>
      </c>
      <c r="K89" s="213">
        <v>2.1142857142857099</v>
      </c>
      <c r="L89" s="213">
        <v>1.65</v>
      </c>
      <c r="M89" s="213">
        <v>3.86</v>
      </c>
      <c r="N89" s="241">
        <f t="shared" si="289"/>
        <v>222316.20192695019</v>
      </c>
      <c r="O89" s="221"/>
      <c r="P89" s="241">
        <f t="shared" si="268"/>
        <v>38886.82025710064</v>
      </c>
      <c r="Q89" s="241">
        <f t="shared" si="290"/>
        <v>38886.82025710064</v>
      </c>
      <c r="R89" s="242">
        <f t="shared" si="189"/>
        <v>2.32179999352</v>
      </c>
      <c r="S89" s="213">
        <v>1.16089999676</v>
      </c>
      <c r="T89" s="241">
        <f t="shared" si="190"/>
        <v>541411.25328895473</v>
      </c>
      <c r="U89" s="197">
        <v>0</v>
      </c>
      <c r="V89" s="243">
        <f t="shared" si="191"/>
        <v>1.0317108721082151</v>
      </c>
      <c r="W89" s="243">
        <f t="shared" si="192"/>
        <v>3.2274845344281164</v>
      </c>
      <c r="X89" s="241">
        <f t="shared" si="193"/>
        <v>1082822.5065779095</v>
      </c>
      <c r="Y89" s="242">
        <f t="shared" si="194"/>
        <v>0.41062353354576209</v>
      </c>
      <c r="Z89" s="243">
        <f t="shared" si="195"/>
        <v>5.7170064422111189</v>
      </c>
      <c r="AA89" s="243">
        <f t="shared" si="196"/>
        <v>3.5912460279382566E-2</v>
      </c>
      <c r="AB89" s="245">
        <f t="shared" si="197"/>
        <v>2.8356492984983495E-2</v>
      </c>
      <c r="AC89" s="245">
        <f t="shared" si="280"/>
        <v>2.6320013317924484</v>
      </c>
      <c r="AD89" s="245">
        <f t="shared" si="198"/>
        <v>2.4353207215498149</v>
      </c>
      <c r="AE89" s="245">
        <f t="shared" si="199"/>
        <v>3.7159420705750019E-2</v>
      </c>
      <c r="AF89" s="221"/>
      <c r="AG89" s="211">
        <v>-73.618388999999993</v>
      </c>
      <c r="AH89" s="242">
        <f t="shared" si="293"/>
        <v>0.6224933316705481</v>
      </c>
      <c r="AI89" s="242">
        <f t="shared" si="282"/>
        <v>1.927731493572199</v>
      </c>
      <c r="AJ89" s="242">
        <f t="shared" si="283"/>
        <v>2.3889064433213369</v>
      </c>
      <c r="AK89" s="242">
        <f t="shared" si="284"/>
        <v>0.98412044997532677</v>
      </c>
      <c r="AL89" s="242">
        <f t="shared" si="269"/>
        <v>0.78544534738290162</v>
      </c>
      <c r="AM89" s="213">
        <v>1.16089999676</v>
      </c>
      <c r="AN89" s="212">
        <v>0.64285714285714302</v>
      </c>
      <c r="AO89" s="212">
        <v>0</v>
      </c>
      <c r="AP89" s="212">
        <v>0</v>
      </c>
      <c r="AQ89" s="484">
        <f t="shared" si="257"/>
        <v>2.16089999676</v>
      </c>
      <c r="AR89" s="247" t="str">
        <f t="shared" si="273"/>
        <v>possible if water clarity improves</v>
      </c>
      <c r="AS89" s="221"/>
      <c r="AT89" s="197">
        <v>22320940</v>
      </c>
      <c r="AU89" s="197">
        <v>0</v>
      </c>
      <c r="AV89" s="197">
        <v>0</v>
      </c>
      <c r="AW89" s="197">
        <v>3829.2098129623305</v>
      </c>
      <c r="AX89" s="197">
        <v>5960.0054686877929</v>
      </c>
      <c r="AY89" s="197">
        <v>1587.4247883693245</v>
      </c>
      <c r="AZ89" s="197">
        <v>233.18600000000001</v>
      </c>
      <c r="BA89" s="214"/>
      <c r="BB89" s="197">
        <v>11609.826070019448</v>
      </c>
      <c r="BC89" s="241">
        <f t="shared" si="291"/>
        <v>11609.826070019448</v>
      </c>
      <c r="BD89" s="241">
        <f t="shared" si="200"/>
        <v>497.87834904408703</v>
      </c>
      <c r="BE89" s="241">
        <f t="shared" si="287"/>
        <v>11609.826070019448</v>
      </c>
      <c r="BF89" s="241">
        <f t="shared" si="292"/>
        <v>497.87834904408703</v>
      </c>
      <c r="BG89" s="248">
        <f t="shared" si="288"/>
        <v>0</v>
      </c>
      <c r="BH89" s="221"/>
      <c r="BI89" s="213">
        <f t="shared" si="258"/>
        <v>7.5309300000000006</v>
      </c>
      <c r="BJ89" s="197">
        <v>30123.72</v>
      </c>
      <c r="BK89" s="213">
        <v>0</v>
      </c>
      <c r="BL89" s="197">
        <f t="shared" si="281"/>
        <v>0</v>
      </c>
      <c r="BM89" s="197"/>
      <c r="BN89" s="221"/>
      <c r="BO89" s="241">
        <f t="shared" si="201"/>
        <v>23.3186</v>
      </c>
      <c r="BP89" s="241">
        <f t="shared" si="202"/>
        <v>5.8099866091617844</v>
      </c>
      <c r="BQ89" s="242">
        <f t="shared" si="214"/>
        <v>3.86</v>
      </c>
      <c r="BR89" s="241">
        <f t="shared" si="203"/>
        <v>0</v>
      </c>
      <c r="BS89" s="244">
        <f t="shared" si="204"/>
        <v>3.5912460279382566E-2</v>
      </c>
      <c r="BT89" s="242">
        <f t="shared" si="205"/>
        <v>2.6320013317924484</v>
      </c>
      <c r="BU89" s="241">
        <f t="shared" si="206"/>
        <v>0</v>
      </c>
      <c r="BV89" s="221"/>
      <c r="CI89" s="221"/>
      <c r="CJ89" s="303" t="str">
        <f t="shared" si="216"/>
        <v>intermediate complexity hydrodynamics</v>
      </c>
      <c r="CK89" s="304">
        <f t="shared" si="217"/>
        <v>2</v>
      </c>
      <c r="CL89" s="303" t="str">
        <f t="shared" si="218"/>
        <v>intermediate or complex water quality</v>
      </c>
      <c r="CM89" s="304">
        <f t="shared" si="219"/>
        <v>3</v>
      </c>
      <c r="CN89" s="303" t="str">
        <f t="shared" si="220"/>
        <v>moderate</v>
      </c>
      <c r="CO89" s="304">
        <f t="shared" si="221"/>
        <v>2</v>
      </c>
      <c r="CP89" s="303" t="str">
        <f t="shared" si="222"/>
        <v>small</v>
      </c>
      <c r="CQ89" s="304">
        <f t="shared" si="223"/>
        <v>3</v>
      </c>
      <c r="CR89" s="303" t="str">
        <f t="shared" si="224"/>
        <v>very low</v>
      </c>
      <c r="CS89" s="304">
        <f t="shared" si="225"/>
        <v>1</v>
      </c>
      <c r="CT89" s="303" t="str">
        <f t="shared" si="226"/>
        <v>none</v>
      </c>
      <c r="CU89" s="304">
        <f t="shared" si="227"/>
        <v>1</v>
      </c>
      <c r="CV89" s="304">
        <f t="shared" si="228"/>
        <v>122</v>
      </c>
      <c r="CW89" s="304" t="str">
        <f t="shared" si="229"/>
        <v>intermediate complexity hydrodynamics</v>
      </c>
      <c r="CX89" s="304">
        <f t="shared" si="271"/>
        <v>99</v>
      </c>
      <c r="CY89" s="304" t="str">
        <f t="shared" si="230"/>
        <v>intermediate complexity water quality</v>
      </c>
      <c r="CZ89" s="216" t="s">
        <v>402</v>
      </c>
      <c r="DA89" s="252" t="str">
        <f t="shared" si="276"/>
        <v>-</v>
      </c>
      <c r="DB89" s="251" t="str">
        <f t="shared" si="259"/>
        <v>intermediate complexity hydrodynamics; intermediate complexity water quality</v>
      </c>
      <c r="DC89" s="227"/>
      <c r="DD89" s="475" t="str">
        <f t="shared" si="260"/>
        <v>Indian Harbor</v>
      </c>
      <c r="DE89" s="475">
        <f t="shared" si="261"/>
        <v>78</v>
      </c>
      <c r="DF89" s="465">
        <f t="shared" si="231"/>
        <v>22.32</v>
      </c>
      <c r="DG89" s="466">
        <f t="shared" si="232"/>
        <v>0.23</v>
      </c>
      <c r="DH89" s="465">
        <f t="shared" si="233"/>
        <v>1.1599999999999999</v>
      </c>
      <c r="DI89" s="465">
        <f t="shared" si="234"/>
        <v>200.3</v>
      </c>
      <c r="DJ89" s="465">
        <f t="shared" si="235"/>
        <v>6</v>
      </c>
      <c r="DK89" s="465">
        <f t="shared" si="236"/>
        <v>2.1</v>
      </c>
      <c r="DL89" s="465">
        <f t="shared" si="237"/>
        <v>1.7</v>
      </c>
      <c r="DM89" s="465">
        <f t="shared" si="238"/>
        <v>3.9</v>
      </c>
      <c r="DN89" s="465">
        <f t="shared" si="239"/>
        <v>100</v>
      </c>
      <c r="DO89" s="465">
        <f t="shared" si="240"/>
        <v>222316</v>
      </c>
      <c r="DP89" s="465">
        <f t="shared" si="241"/>
        <v>541411</v>
      </c>
      <c r="DQ89" s="467">
        <f t="shared" si="242"/>
        <v>2.3199999999999998</v>
      </c>
      <c r="DR89" s="467">
        <f t="shared" si="243"/>
        <v>0</v>
      </c>
      <c r="DS89" s="467">
        <f t="shared" si="244"/>
        <v>38887</v>
      </c>
      <c r="DT89" s="467">
        <f t="shared" si="245"/>
        <v>5.7</v>
      </c>
      <c r="DU89" s="467">
        <f t="shared" si="246"/>
        <v>0.4</v>
      </c>
      <c r="DV89" s="467">
        <f t="shared" si="247"/>
        <v>7.53</v>
      </c>
      <c r="DW89" s="467">
        <f t="shared" si="248"/>
        <v>0</v>
      </c>
      <c r="DX89" s="467">
        <f t="shared" si="249"/>
        <v>64</v>
      </c>
      <c r="DY89" s="467">
        <f t="shared" si="250"/>
        <v>0</v>
      </c>
      <c r="DZ89" s="467">
        <f t="shared" si="251"/>
        <v>0</v>
      </c>
      <c r="EA89" s="467">
        <f t="shared" si="252"/>
        <v>11610</v>
      </c>
      <c r="EB89" s="467">
        <f t="shared" si="253"/>
        <v>498</v>
      </c>
      <c r="EC89" s="467">
        <f t="shared" si="254"/>
        <v>0</v>
      </c>
      <c r="ED89" s="467">
        <f t="shared" si="255"/>
        <v>3.5909999999999997E-2</v>
      </c>
      <c r="EE89" s="467">
        <f t="shared" si="256"/>
        <v>2.63</v>
      </c>
      <c r="EF89" s="138">
        <f t="shared" si="262"/>
        <v>2.16</v>
      </c>
      <c r="EG89" s="138" t="str">
        <f t="shared" si="263"/>
        <v>possible if water clarity improves</v>
      </c>
      <c r="EH89" s="138">
        <f t="shared" si="264"/>
        <v>2.39</v>
      </c>
      <c r="EI89" s="138">
        <f t="shared" si="265"/>
        <v>0.98</v>
      </c>
      <c r="EJ89" s="138">
        <f t="shared" si="266"/>
        <v>0.79</v>
      </c>
    </row>
    <row r="90" spans="1:140" ht="44" customHeight="1" x14ac:dyDescent="0.35">
      <c r="A90" s="388">
        <v>79</v>
      </c>
      <c r="B90" s="215" t="s">
        <v>470</v>
      </c>
      <c r="C90" s="210">
        <v>79</v>
      </c>
      <c r="D90" s="196"/>
      <c r="E90" s="221"/>
      <c r="F90" s="197">
        <v>105351</v>
      </c>
      <c r="G90" s="197">
        <v>855.02650000000006</v>
      </c>
      <c r="H90" s="241">
        <f t="shared" si="267"/>
        <v>123.21372495472362</v>
      </c>
      <c r="I90" s="241">
        <f t="shared" si="279"/>
        <v>6.9393770889906135</v>
      </c>
      <c r="J90" s="212">
        <v>0</v>
      </c>
      <c r="K90" s="213">
        <v>0.90002562861292301</v>
      </c>
      <c r="L90" s="213">
        <v>0.85</v>
      </c>
      <c r="M90" s="213">
        <v>1.76</v>
      </c>
      <c r="N90" s="241">
        <f t="shared" si="289"/>
        <v>10535.1</v>
      </c>
      <c r="O90" s="221"/>
      <c r="P90" s="241">
        <f t="shared" si="268"/>
        <v>382.09944754920684</v>
      </c>
      <c r="Q90" s="241">
        <f t="shared" si="290"/>
        <v>382.09944754920684</v>
      </c>
      <c r="R90" s="242">
        <f t="shared" si="189"/>
        <v>2.3110001087200001</v>
      </c>
      <c r="S90" s="213">
        <v>1.15550005436</v>
      </c>
      <c r="T90" s="241">
        <f t="shared" si="190"/>
        <v>243466.17245376072</v>
      </c>
      <c r="U90" s="197">
        <v>0</v>
      </c>
      <c r="V90" s="243">
        <f t="shared" si="191"/>
        <v>0.76302958402627119</v>
      </c>
      <c r="W90" s="243">
        <f t="shared" si="192"/>
        <v>2.3857889641926069</v>
      </c>
      <c r="X90" s="241">
        <f t="shared" si="193"/>
        <v>486932.34490752144</v>
      </c>
      <c r="Y90" s="242">
        <f t="shared" si="194"/>
        <v>4.3271309085046852E-2</v>
      </c>
      <c r="Z90" s="243">
        <f t="shared" si="195"/>
        <v>27.571617984721865</v>
      </c>
      <c r="AA90" s="243">
        <f t="shared" si="196"/>
        <v>7.84707468183851E-4</v>
      </c>
      <c r="AB90" s="245">
        <f t="shared" si="197"/>
        <v>1.4807735267734958E-3</v>
      </c>
      <c r="AC90" s="245">
        <f t="shared" si="280"/>
        <v>6.2901297057048096</v>
      </c>
      <c r="AD90" s="245">
        <f t="shared" si="198"/>
        <v>23.110001087200001</v>
      </c>
      <c r="AE90" s="245">
        <f t="shared" si="199"/>
        <v>8.1195425527356806E-4</v>
      </c>
      <c r="AF90" s="221"/>
      <c r="AG90" s="211">
        <v>-73.620976999999996</v>
      </c>
      <c r="AH90" s="242">
        <f t="shared" si="293"/>
        <v>0.62131198154867118</v>
      </c>
      <c r="AI90" s="242">
        <f t="shared" si="282"/>
        <v>1.9313968435131434</v>
      </c>
      <c r="AJ90" s="242">
        <f t="shared" si="283"/>
        <v>2.3843728446876029</v>
      </c>
      <c r="AK90" s="242">
        <f t="shared" si="284"/>
        <v>0.98225281420419341</v>
      </c>
      <c r="AL90" s="242">
        <f t="shared" si="269"/>
        <v>0.78395475156500205</v>
      </c>
      <c r="AM90" s="213">
        <v>1.15550005436</v>
      </c>
      <c r="AN90" s="212">
        <v>1.0000284762365801</v>
      </c>
      <c r="AO90" s="212">
        <v>0.555571375686989</v>
      </c>
      <c r="AP90" s="212">
        <v>0.44445710054959098</v>
      </c>
      <c r="AQ90" s="484">
        <f t="shared" si="257"/>
        <v>2.15550005436</v>
      </c>
      <c r="AR90" s="247" t="str">
        <f t="shared" si="273"/>
        <v>unlikely, too shallow</v>
      </c>
      <c r="AS90" s="221"/>
      <c r="AT90" s="197">
        <v>209318.39999999999</v>
      </c>
      <c r="AU90" s="197">
        <v>0</v>
      </c>
      <c r="AV90" s="197">
        <v>0</v>
      </c>
      <c r="AW90" s="197">
        <v>44.570653947583885</v>
      </c>
      <c r="AX90" s="197">
        <v>73.125470647464283</v>
      </c>
      <c r="AY90" s="197">
        <v>40.337725276545235</v>
      </c>
      <c r="AZ90" s="197">
        <v>105.351</v>
      </c>
      <c r="BA90" s="214"/>
      <c r="BB90" s="197">
        <v>263.38484987159342</v>
      </c>
      <c r="BC90" s="241">
        <f t="shared" si="291"/>
        <v>263.38484987159342</v>
      </c>
      <c r="BD90" s="241">
        <f t="shared" si="200"/>
        <v>25.00069765560777</v>
      </c>
      <c r="BE90" s="241">
        <f t="shared" si="287"/>
        <v>263.38484987159342</v>
      </c>
      <c r="BF90" s="241">
        <f t="shared" si="292"/>
        <v>25.00069765560777</v>
      </c>
      <c r="BG90" s="248">
        <f t="shared" si="288"/>
        <v>0</v>
      </c>
      <c r="BH90" s="221"/>
      <c r="BI90" s="213">
        <f t="shared" si="258"/>
        <v>1.7352650000000001</v>
      </c>
      <c r="BJ90" s="197">
        <v>6941.06</v>
      </c>
      <c r="BK90" s="213">
        <v>0</v>
      </c>
      <c r="BL90" s="197">
        <f t="shared" si="281"/>
        <v>0</v>
      </c>
      <c r="BM90" s="197"/>
      <c r="BN90" s="221"/>
      <c r="BO90" s="241">
        <f t="shared" si="201"/>
        <v>10.5351</v>
      </c>
      <c r="BP90" s="241">
        <f t="shared" si="202"/>
        <v>6.9393770889906135</v>
      </c>
      <c r="BQ90" s="242">
        <f t="shared" si="214"/>
        <v>1.76</v>
      </c>
      <c r="BR90" s="241">
        <f t="shared" si="203"/>
        <v>0</v>
      </c>
      <c r="BS90" s="244">
        <f t="shared" si="204"/>
        <v>7.84707468183851E-4</v>
      </c>
      <c r="BT90" s="242">
        <f t="shared" si="205"/>
        <v>6.2901297057048096</v>
      </c>
      <c r="BU90" s="241">
        <f t="shared" si="206"/>
        <v>0</v>
      </c>
      <c r="BV90" s="221"/>
      <c r="CI90" s="221"/>
      <c r="CJ90" s="303" t="str">
        <f t="shared" si="216"/>
        <v>simple complexity hydrodynamics</v>
      </c>
      <c r="CK90" s="304">
        <f t="shared" si="217"/>
        <v>1</v>
      </c>
      <c r="CL90" s="303" t="str">
        <f t="shared" si="218"/>
        <v>complex water quality</v>
      </c>
      <c r="CM90" s="304">
        <f t="shared" si="219"/>
        <v>4</v>
      </c>
      <c r="CN90" s="303" t="str">
        <f t="shared" si="220"/>
        <v>shallow</v>
      </c>
      <c r="CO90" s="304">
        <f t="shared" si="221"/>
        <v>1</v>
      </c>
      <c r="CP90" s="303" t="str">
        <f t="shared" si="222"/>
        <v>very small</v>
      </c>
      <c r="CQ90" s="304">
        <f t="shared" si="223"/>
        <v>2</v>
      </c>
      <c r="CR90" s="303" t="str">
        <f t="shared" si="224"/>
        <v>very low</v>
      </c>
      <c r="CS90" s="304">
        <f t="shared" si="225"/>
        <v>1</v>
      </c>
      <c r="CT90" s="303" t="str">
        <f t="shared" si="226"/>
        <v>none</v>
      </c>
      <c r="CU90" s="304">
        <f t="shared" si="227"/>
        <v>1</v>
      </c>
      <c r="CV90" s="304">
        <f t="shared" si="228"/>
        <v>92</v>
      </c>
      <c r="CW90" s="304" t="str">
        <f t="shared" si="229"/>
        <v>intermediate complexity hydrodynamics</v>
      </c>
      <c r="CX90" s="304">
        <f t="shared" si="271"/>
        <v>90</v>
      </c>
      <c r="CY90" s="304" t="str">
        <f t="shared" si="230"/>
        <v>intermediate complexity water quality</v>
      </c>
      <c r="CZ90" s="216" t="s">
        <v>650</v>
      </c>
      <c r="DA90" s="252" t="str">
        <f t="shared" si="276"/>
        <v>-</v>
      </c>
      <c r="DB90" s="251" t="str">
        <f t="shared" si="259"/>
        <v>intermediate complexity hydrodynamics; intermediate complexity water quality</v>
      </c>
      <c r="DC90" s="227"/>
      <c r="DD90" s="475" t="str">
        <f t="shared" si="260"/>
        <v>Smith Cove</v>
      </c>
      <c r="DE90" s="475">
        <f t="shared" si="261"/>
        <v>79</v>
      </c>
      <c r="DF90" s="465">
        <f t="shared" si="231"/>
        <v>0.21</v>
      </c>
      <c r="DG90" s="466">
        <f t="shared" si="232"/>
        <v>0.11</v>
      </c>
      <c r="DH90" s="465">
        <f t="shared" si="233"/>
        <v>0.86</v>
      </c>
      <c r="DI90" s="465">
        <f t="shared" si="234"/>
        <v>123.2</v>
      </c>
      <c r="DJ90" s="465">
        <f t="shared" si="235"/>
        <v>7</v>
      </c>
      <c r="DK90" s="465">
        <f t="shared" si="236"/>
        <v>0.9</v>
      </c>
      <c r="DL90" s="465">
        <f t="shared" si="237"/>
        <v>0.9</v>
      </c>
      <c r="DM90" s="465">
        <f t="shared" si="238"/>
        <v>1.8</v>
      </c>
      <c r="DN90" s="465">
        <f t="shared" si="239"/>
        <v>0</v>
      </c>
      <c r="DO90" s="465">
        <f t="shared" si="240"/>
        <v>10535</v>
      </c>
      <c r="DP90" s="465">
        <f t="shared" si="241"/>
        <v>243466</v>
      </c>
      <c r="DQ90" s="467">
        <f t="shared" si="242"/>
        <v>2.31</v>
      </c>
      <c r="DR90" s="467">
        <f t="shared" si="243"/>
        <v>0</v>
      </c>
      <c r="DS90" s="467">
        <f t="shared" si="244"/>
        <v>382</v>
      </c>
      <c r="DT90" s="467">
        <f t="shared" si="245"/>
        <v>27.6</v>
      </c>
      <c r="DU90" s="467">
        <f t="shared" si="246"/>
        <v>0</v>
      </c>
      <c r="DV90" s="467">
        <f t="shared" si="247"/>
        <v>1.74</v>
      </c>
      <c r="DW90" s="467">
        <f t="shared" si="248"/>
        <v>0</v>
      </c>
      <c r="DX90" s="467">
        <f t="shared" si="249"/>
        <v>100</v>
      </c>
      <c r="DY90" s="467">
        <f t="shared" si="250"/>
        <v>56</v>
      </c>
      <c r="DZ90" s="467">
        <f t="shared" si="251"/>
        <v>44</v>
      </c>
      <c r="EA90" s="467">
        <f t="shared" si="252"/>
        <v>263</v>
      </c>
      <c r="EB90" s="467">
        <f t="shared" si="253"/>
        <v>25</v>
      </c>
      <c r="EC90" s="467">
        <f t="shared" si="254"/>
        <v>0</v>
      </c>
      <c r="ED90" s="467">
        <f t="shared" si="255"/>
        <v>7.7999999999999999E-4</v>
      </c>
      <c r="EE90" s="467">
        <f t="shared" si="256"/>
        <v>6.29</v>
      </c>
      <c r="EF90" s="138">
        <f t="shared" si="262"/>
        <v>2.16</v>
      </c>
      <c r="EG90" s="138" t="str">
        <f t="shared" si="263"/>
        <v>unlikely, too shallow</v>
      </c>
      <c r="EH90" s="138">
        <f t="shared" si="264"/>
        <v>2.38</v>
      </c>
      <c r="EI90" s="138">
        <f t="shared" si="265"/>
        <v>0.98</v>
      </c>
      <c r="EJ90" s="138">
        <f t="shared" si="266"/>
        <v>0.78</v>
      </c>
    </row>
    <row r="91" spans="1:140" ht="44" customHeight="1" x14ac:dyDescent="0.35">
      <c r="A91" s="388">
        <v>80</v>
      </c>
      <c r="B91" s="215" t="s">
        <v>471</v>
      </c>
      <c r="C91" s="210">
        <v>80</v>
      </c>
      <c r="D91" s="196"/>
      <c r="E91" s="221"/>
      <c r="F91" s="197">
        <v>266243</v>
      </c>
      <c r="G91" s="197">
        <v>1075.0920000000001</v>
      </c>
      <c r="H91" s="241">
        <f t="shared" si="267"/>
        <v>247.6467130254899</v>
      </c>
      <c r="I91" s="241">
        <f t="shared" si="279"/>
        <v>4.3412326651367366</v>
      </c>
      <c r="J91" s="212">
        <v>1</v>
      </c>
      <c r="K91" s="213">
        <v>1.93</v>
      </c>
      <c r="L91" s="213">
        <v>1.65</v>
      </c>
      <c r="M91" s="213">
        <v>2.36</v>
      </c>
      <c r="N91" s="241">
        <f t="shared" si="289"/>
        <v>204847.37831620386</v>
      </c>
      <c r="O91" s="221"/>
      <c r="P91" s="241">
        <f t="shared" si="268"/>
        <v>13037.906553981282</v>
      </c>
      <c r="Q91" s="241">
        <f t="shared" si="290"/>
        <v>13037.906553981282</v>
      </c>
      <c r="R91" s="242">
        <f t="shared" si="189"/>
        <v>2.3211998939599998</v>
      </c>
      <c r="S91" s="213">
        <v>1.1605999469799999</v>
      </c>
      <c r="T91" s="241">
        <f t="shared" si="190"/>
        <v>618003.2233675922</v>
      </c>
      <c r="U91" s="197">
        <v>0</v>
      </c>
      <c r="V91" s="243">
        <f t="shared" si="191"/>
        <v>0.96280591709104024</v>
      </c>
      <c r="W91" s="243">
        <f t="shared" si="192"/>
        <v>3.0106938961662006</v>
      </c>
      <c r="X91" s="241">
        <f t="shared" si="193"/>
        <v>1236006.4467351844</v>
      </c>
      <c r="Y91" s="242">
        <f t="shared" si="194"/>
        <v>0.3314665208378037</v>
      </c>
      <c r="Z91" s="243">
        <f t="shared" si="195"/>
        <v>15.711677136821574</v>
      </c>
      <c r="AA91" s="243">
        <f t="shared" si="196"/>
        <v>1.0548413067278011E-2</v>
      </c>
      <c r="AB91" s="245">
        <f t="shared" si="197"/>
        <v>1.2527949077110859E-2</v>
      </c>
      <c r="AC91" s="245">
        <f t="shared" si="280"/>
        <v>3.9588732438416168</v>
      </c>
      <c r="AD91" s="245">
        <f t="shared" si="198"/>
        <v>3.0168959370992683</v>
      </c>
      <c r="AE91" s="245">
        <f t="shared" si="199"/>
        <v>1.0914677409891832E-2</v>
      </c>
      <c r="AF91" s="221"/>
      <c r="AG91" s="211">
        <v>-73.623048999999995</v>
      </c>
      <c r="AH91" s="242">
        <f t="shared" si="293"/>
        <v>0.62036499346228546</v>
      </c>
      <c r="AI91" s="242">
        <f t="shared" si="282"/>
        <v>1.9343451236710585</v>
      </c>
      <c r="AJ91" s="242">
        <f t="shared" si="283"/>
        <v>2.3807386436026783</v>
      </c>
      <c r="AK91" s="242">
        <f t="shared" si="284"/>
        <v>0.98075568918408407</v>
      </c>
      <c r="AL91" s="242">
        <f t="shared" si="269"/>
        <v>0.78275986746161319</v>
      </c>
      <c r="AM91" s="213">
        <v>1.1605999469799999</v>
      </c>
      <c r="AN91" s="212">
        <v>1</v>
      </c>
      <c r="AO91" s="212">
        <v>0</v>
      </c>
      <c r="AP91" s="212">
        <v>0</v>
      </c>
      <c r="AQ91" s="484">
        <f t="shared" si="257"/>
        <v>2.1605999469799997</v>
      </c>
      <c r="AR91" s="247" t="str">
        <f t="shared" si="273"/>
        <v>possible if water clarity improves</v>
      </c>
      <c r="AS91" s="221"/>
      <c r="AT91" s="197">
        <v>7401573</v>
      </c>
      <c r="AU91" s="197">
        <v>0</v>
      </c>
      <c r="AV91" s="197">
        <v>0</v>
      </c>
      <c r="AW91" s="197">
        <v>1087.2550616772373</v>
      </c>
      <c r="AX91" s="197">
        <v>2910.2881958585904</v>
      </c>
      <c r="AY91" s="197">
        <v>1447.7206218309029</v>
      </c>
      <c r="AZ91" s="197">
        <v>266.24299999999999</v>
      </c>
      <c r="BA91" s="214"/>
      <c r="BB91" s="197">
        <v>5711.5068793667306</v>
      </c>
      <c r="BC91" s="241">
        <f t="shared" si="291"/>
        <v>5711.5068793667306</v>
      </c>
      <c r="BD91" s="241">
        <f t="shared" si="200"/>
        <v>214.52233032856191</v>
      </c>
      <c r="BE91" s="241">
        <f t="shared" si="287"/>
        <v>5711.5068793667306</v>
      </c>
      <c r="BF91" s="241">
        <f t="shared" si="292"/>
        <v>214.52233032856191</v>
      </c>
      <c r="BG91" s="248">
        <f t="shared" si="288"/>
        <v>0</v>
      </c>
      <c r="BH91" s="221"/>
      <c r="BI91" s="213">
        <f t="shared" si="258"/>
        <v>0.37476900000000002</v>
      </c>
      <c r="BJ91" s="197">
        <v>1499.076</v>
      </c>
      <c r="BK91" s="213">
        <v>0</v>
      </c>
      <c r="BL91" s="197">
        <f t="shared" si="281"/>
        <v>0</v>
      </c>
      <c r="BM91" s="197"/>
      <c r="BN91" s="221"/>
      <c r="BO91" s="241">
        <f t="shared" si="201"/>
        <v>26.624300000000002</v>
      </c>
      <c r="BP91" s="241">
        <f t="shared" si="202"/>
        <v>4.3412326651367366</v>
      </c>
      <c r="BQ91" s="242">
        <f t="shared" si="214"/>
        <v>2.36</v>
      </c>
      <c r="BR91" s="241">
        <f t="shared" si="203"/>
        <v>0</v>
      </c>
      <c r="BS91" s="244">
        <f t="shared" si="204"/>
        <v>1.0548413067278011E-2</v>
      </c>
      <c r="BT91" s="242">
        <f t="shared" si="205"/>
        <v>3.9588732438416168</v>
      </c>
      <c r="BU91" s="241">
        <f t="shared" si="206"/>
        <v>0</v>
      </c>
      <c r="BV91" s="221"/>
      <c r="CI91" s="221"/>
      <c r="CJ91" s="303" t="str">
        <f t="shared" si="216"/>
        <v>intermediate complexity hydrodynamics</v>
      </c>
      <c r="CK91" s="304">
        <f t="shared" si="217"/>
        <v>2</v>
      </c>
      <c r="CL91" s="303" t="str">
        <f t="shared" si="218"/>
        <v>intermediate or complex water quality</v>
      </c>
      <c r="CM91" s="304">
        <f t="shared" si="219"/>
        <v>3</v>
      </c>
      <c r="CN91" s="303" t="str">
        <f t="shared" si="220"/>
        <v>shallow</v>
      </c>
      <c r="CO91" s="304">
        <f t="shared" si="221"/>
        <v>1</v>
      </c>
      <c r="CP91" s="303" t="str">
        <f t="shared" si="222"/>
        <v>small</v>
      </c>
      <c r="CQ91" s="304">
        <f t="shared" si="223"/>
        <v>3</v>
      </c>
      <c r="CR91" s="303" t="str">
        <f t="shared" si="224"/>
        <v>very low</v>
      </c>
      <c r="CS91" s="304">
        <f t="shared" si="225"/>
        <v>1</v>
      </c>
      <c r="CT91" s="303" t="str">
        <f t="shared" si="226"/>
        <v>none</v>
      </c>
      <c r="CU91" s="304">
        <f t="shared" si="227"/>
        <v>1</v>
      </c>
      <c r="CV91" s="304">
        <f t="shared" si="228"/>
        <v>112</v>
      </c>
      <c r="CW91" s="304" t="str">
        <f t="shared" si="229"/>
        <v>intermediate complexity hydrodynamics</v>
      </c>
      <c r="CX91" s="304">
        <f t="shared" si="271"/>
        <v>79</v>
      </c>
      <c r="CY91" s="304" t="str">
        <f t="shared" si="230"/>
        <v>intermediate complexity water quality</v>
      </c>
      <c r="CZ91" s="216" t="s">
        <v>402</v>
      </c>
      <c r="DA91" s="252" t="str">
        <f t="shared" si="276"/>
        <v>-</v>
      </c>
      <c r="DB91" s="251" t="str">
        <f t="shared" si="259"/>
        <v>intermediate complexity hydrodynamics; intermediate complexity water quality</v>
      </c>
      <c r="DC91" s="227"/>
      <c r="DD91" s="475" t="str">
        <f t="shared" si="260"/>
        <v>Greenwich Harbor</v>
      </c>
      <c r="DE91" s="475">
        <f t="shared" si="261"/>
        <v>80</v>
      </c>
      <c r="DF91" s="465">
        <f t="shared" si="231"/>
        <v>7.4</v>
      </c>
      <c r="DG91" s="466">
        <f t="shared" si="232"/>
        <v>0.27</v>
      </c>
      <c r="DH91" s="465">
        <f t="shared" si="233"/>
        <v>1.08</v>
      </c>
      <c r="DI91" s="465">
        <f t="shared" si="234"/>
        <v>247.6</v>
      </c>
      <c r="DJ91" s="465">
        <f t="shared" si="235"/>
        <v>4</v>
      </c>
      <c r="DK91" s="465">
        <f t="shared" si="236"/>
        <v>1.9</v>
      </c>
      <c r="DL91" s="465">
        <f t="shared" si="237"/>
        <v>1.7</v>
      </c>
      <c r="DM91" s="465">
        <f t="shared" si="238"/>
        <v>2.4</v>
      </c>
      <c r="DN91" s="465">
        <f t="shared" si="239"/>
        <v>100</v>
      </c>
      <c r="DO91" s="465">
        <f t="shared" si="240"/>
        <v>204847</v>
      </c>
      <c r="DP91" s="465">
        <f t="shared" si="241"/>
        <v>618003</v>
      </c>
      <c r="DQ91" s="467">
        <f t="shared" si="242"/>
        <v>2.3199999999999998</v>
      </c>
      <c r="DR91" s="467">
        <f t="shared" si="243"/>
        <v>0</v>
      </c>
      <c r="DS91" s="467">
        <f t="shared" si="244"/>
        <v>13038</v>
      </c>
      <c r="DT91" s="467">
        <f t="shared" si="245"/>
        <v>15.7</v>
      </c>
      <c r="DU91" s="467">
        <f t="shared" si="246"/>
        <v>0.3</v>
      </c>
      <c r="DV91" s="467">
        <f t="shared" si="247"/>
        <v>0.37</v>
      </c>
      <c r="DW91" s="467">
        <f t="shared" si="248"/>
        <v>0</v>
      </c>
      <c r="DX91" s="467">
        <f t="shared" si="249"/>
        <v>100</v>
      </c>
      <c r="DY91" s="467">
        <f t="shared" si="250"/>
        <v>0</v>
      </c>
      <c r="DZ91" s="467">
        <f t="shared" si="251"/>
        <v>0</v>
      </c>
      <c r="EA91" s="467">
        <f t="shared" si="252"/>
        <v>5712</v>
      </c>
      <c r="EB91" s="467">
        <f t="shared" si="253"/>
        <v>215</v>
      </c>
      <c r="EC91" s="467">
        <f t="shared" si="254"/>
        <v>0</v>
      </c>
      <c r="ED91" s="467">
        <f t="shared" si="255"/>
        <v>1.055E-2</v>
      </c>
      <c r="EE91" s="467">
        <f t="shared" si="256"/>
        <v>3.96</v>
      </c>
      <c r="EF91" s="138">
        <f t="shared" si="262"/>
        <v>2.16</v>
      </c>
      <c r="EG91" s="138" t="str">
        <f t="shared" si="263"/>
        <v>possible if water clarity improves</v>
      </c>
      <c r="EH91" s="138">
        <f t="shared" si="264"/>
        <v>2.38</v>
      </c>
      <c r="EI91" s="138">
        <f t="shared" si="265"/>
        <v>0.98</v>
      </c>
      <c r="EJ91" s="138">
        <f t="shared" si="266"/>
        <v>0.78</v>
      </c>
    </row>
    <row r="92" spans="1:140" ht="44" customHeight="1" x14ac:dyDescent="0.35">
      <c r="A92" s="388">
        <v>81</v>
      </c>
      <c r="B92" s="215" t="s">
        <v>472</v>
      </c>
      <c r="C92" s="210">
        <v>81</v>
      </c>
      <c r="D92" s="196"/>
      <c r="E92" s="221"/>
      <c r="F92" s="197">
        <v>359069</v>
      </c>
      <c r="G92" s="197">
        <v>1435.8779999999999</v>
      </c>
      <c r="H92" s="241">
        <f t="shared" si="267"/>
        <v>250.06929558082234</v>
      </c>
      <c r="I92" s="241">
        <f t="shared" si="279"/>
        <v>5.7419204411519784</v>
      </c>
      <c r="J92" s="212">
        <v>0.57335498191155465</v>
      </c>
      <c r="K92" s="213">
        <v>1.59878390365083</v>
      </c>
      <c r="L92" s="213">
        <v>1.55</v>
      </c>
      <c r="M92" s="213">
        <v>2.96</v>
      </c>
      <c r="N92" s="241">
        <f t="shared" si="289"/>
        <v>157445.97091126832</v>
      </c>
      <c r="O92" s="221"/>
      <c r="P92" s="241">
        <f t="shared" si="268"/>
        <v>6308.6328905217106</v>
      </c>
      <c r="Q92" s="241">
        <f t="shared" si="290"/>
        <v>6308.6328905217106</v>
      </c>
      <c r="R92" s="242">
        <f t="shared" si="189"/>
        <v>2.3206000327999998</v>
      </c>
      <c r="S92" s="213">
        <v>1.1603000163999999</v>
      </c>
      <c r="T92" s="241">
        <f t="shared" si="190"/>
        <v>833255.5331774631</v>
      </c>
      <c r="U92" s="197">
        <v>0</v>
      </c>
      <c r="V92" s="243">
        <f t="shared" si="191"/>
        <v>1.2623233413691148</v>
      </c>
      <c r="W92" s="243">
        <f t="shared" si="192"/>
        <v>3.9509380906434495</v>
      </c>
      <c r="X92" s="241">
        <f t="shared" si="193"/>
        <v>1666511.0663549262</v>
      </c>
      <c r="Y92" s="242">
        <f t="shared" si="194"/>
        <v>0.18895280576281054</v>
      </c>
      <c r="Z92" s="243">
        <f t="shared" si="195"/>
        <v>24.957225066594084</v>
      </c>
      <c r="AA92" s="243">
        <f t="shared" si="196"/>
        <v>3.7855331523961966E-3</v>
      </c>
      <c r="AB92" s="245">
        <f t="shared" si="197"/>
        <v>5.2792787542315384E-3</v>
      </c>
      <c r="AC92" s="245">
        <f t="shared" si="280"/>
        <v>4.6486439661212309</v>
      </c>
      <c r="AD92" s="245">
        <f t="shared" si="198"/>
        <v>5.2923268112529867</v>
      </c>
      <c r="AE92" s="245">
        <f t="shared" si="199"/>
        <v>3.9169752757432872E-3</v>
      </c>
      <c r="AF92" s="221"/>
      <c r="AG92" s="211">
        <v>-73.640860000000004</v>
      </c>
      <c r="AH92" s="242">
        <f t="shared" si="293"/>
        <v>0.61218145151092229</v>
      </c>
      <c r="AI92" s="242">
        <f t="shared" si="282"/>
        <v>1.9602031342803434</v>
      </c>
      <c r="AJ92" s="242">
        <f t="shared" si="283"/>
        <v>2.3493331407608444</v>
      </c>
      <c r="AK92" s="242">
        <f t="shared" si="284"/>
        <v>0.96781805503151486</v>
      </c>
      <c r="AL92" s="242">
        <f t="shared" si="269"/>
        <v>0.77243409427853138</v>
      </c>
      <c r="AM92" s="213">
        <v>1.1603000163999999</v>
      </c>
      <c r="AN92" s="212">
        <v>0.74916555035383203</v>
      </c>
      <c r="AO92" s="212">
        <v>0.237029651682546</v>
      </c>
      <c r="AP92" s="212">
        <v>0.189623721346037</v>
      </c>
      <c r="AQ92" s="484">
        <f t="shared" si="257"/>
        <v>2.1603000163999999</v>
      </c>
      <c r="AR92" s="247" t="str">
        <f t="shared" si="273"/>
        <v>possible if water clarity improves</v>
      </c>
      <c r="AS92" s="221"/>
      <c r="AT92" s="197">
        <v>3555223</v>
      </c>
      <c r="AU92" s="197">
        <v>0</v>
      </c>
      <c r="AV92" s="197">
        <v>0</v>
      </c>
      <c r="AW92" s="197">
        <v>1024.4421366592799</v>
      </c>
      <c r="AX92" s="197">
        <v>1213.4100293064917</v>
      </c>
      <c r="AY92" s="197">
        <v>626.49658076279616</v>
      </c>
      <c r="AZ92" s="197">
        <v>359.06900000000002</v>
      </c>
      <c r="BA92" s="214"/>
      <c r="BB92" s="197">
        <v>3223.4177467285672</v>
      </c>
      <c r="BC92" s="241">
        <f t="shared" si="291"/>
        <v>3223.4177467285672</v>
      </c>
      <c r="BD92" s="241">
        <f t="shared" si="200"/>
        <v>89.771541033299101</v>
      </c>
      <c r="BE92" s="241">
        <f t="shared" si="287"/>
        <v>3223.4177467285672</v>
      </c>
      <c r="BF92" s="241">
        <f t="shared" si="292"/>
        <v>89.771541033299101</v>
      </c>
      <c r="BG92" s="248">
        <f t="shared" si="288"/>
        <v>0</v>
      </c>
      <c r="BH92" s="221"/>
      <c r="BI92" s="213">
        <f t="shared" si="258"/>
        <v>0</v>
      </c>
      <c r="BJ92" s="197">
        <v>0</v>
      </c>
      <c r="BK92" s="213">
        <v>0</v>
      </c>
      <c r="BL92" s="197">
        <f t="shared" si="281"/>
        <v>0</v>
      </c>
      <c r="BM92" s="197"/>
      <c r="BN92" s="221"/>
      <c r="BO92" s="241">
        <f t="shared" si="201"/>
        <v>35.9069</v>
      </c>
      <c r="BP92" s="241">
        <f t="shared" si="202"/>
        <v>5.7419204411519784</v>
      </c>
      <c r="BQ92" s="242">
        <f t="shared" si="214"/>
        <v>2.96</v>
      </c>
      <c r="BR92" s="241">
        <f t="shared" si="203"/>
        <v>0</v>
      </c>
      <c r="BS92" s="244">
        <f t="shared" si="204"/>
        <v>3.7855331523961966E-3</v>
      </c>
      <c r="BT92" s="242">
        <f t="shared" si="205"/>
        <v>4.6486439661212309</v>
      </c>
      <c r="BU92" s="241">
        <f t="shared" si="206"/>
        <v>0</v>
      </c>
      <c r="BV92" s="221"/>
      <c r="CI92" s="221"/>
      <c r="CJ92" s="303" t="str">
        <f t="shared" si="216"/>
        <v>intermediate complexity hydrodynamics</v>
      </c>
      <c r="CK92" s="304">
        <f t="shared" si="217"/>
        <v>2</v>
      </c>
      <c r="CL92" s="303" t="str">
        <f t="shared" si="218"/>
        <v>intermediate or complex water quality</v>
      </c>
      <c r="CM92" s="304">
        <f t="shared" si="219"/>
        <v>3</v>
      </c>
      <c r="CN92" s="303" t="str">
        <f t="shared" si="220"/>
        <v>shallow</v>
      </c>
      <c r="CO92" s="304">
        <f t="shared" si="221"/>
        <v>1</v>
      </c>
      <c r="CP92" s="303" t="str">
        <f t="shared" si="222"/>
        <v>small</v>
      </c>
      <c r="CQ92" s="304">
        <f t="shared" si="223"/>
        <v>3</v>
      </c>
      <c r="CR92" s="303" t="str">
        <f t="shared" si="224"/>
        <v>very low</v>
      </c>
      <c r="CS92" s="304">
        <f t="shared" si="225"/>
        <v>1</v>
      </c>
      <c r="CT92" s="303" t="str">
        <f t="shared" si="226"/>
        <v>none</v>
      </c>
      <c r="CU92" s="304">
        <f t="shared" si="227"/>
        <v>1</v>
      </c>
      <c r="CV92" s="304">
        <f t="shared" si="228"/>
        <v>112</v>
      </c>
      <c r="CW92" s="304" t="str">
        <f t="shared" si="229"/>
        <v>intermediate complexity hydrodynamics</v>
      </c>
      <c r="CX92" s="304">
        <f t="shared" si="271"/>
        <v>79</v>
      </c>
      <c r="CY92" s="304" t="str">
        <f t="shared" si="230"/>
        <v>intermediate complexity water quality</v>
      </c>
      <c r="CZ92" s="216" t="s">
        <v>402</v>
      </c>
      <c r="DA92" s="252" t="str">
        <f t="shared" si="276"/>
        <v>-</v>
      </c>
      <c r="DB92" s="251" t="str">
        <f t="shared" si="259"/>
        <v>intermediate complexity hydrodynamics; intermediate complexity water quality</v>
      </c>
      <c r="DC92" s="227"/>
      <c r="DD92" s="475" t="str">
        <f t="shared" si="260"/>
        <v>Captain Harbor</v>
      </c>
      <c r="DE92" s="475">
        <f t="shared" si="261"/>
        <v>81</v>
      </c>
      <c r="DF92" s="465">
        <f t="shared" si="231"/>
        <v>3.56</v>
      </c>
      <c r="DG92" s="466">
        <f t="shared" si="232"/>
        <v>0.36</v>
      </c>
      <c r="DH92" s="465">
        <f t="shared" si="233"/>
        <v>1.44</v>
      </c>
      <c r="DI92" s="465">
        <f t="shared" si="234"/>
        <v>250.1</v>
      </c>
      <c r="DJ92" s="465">
        <f t="shared" si="235"/>
        <v>6</v>
      </c>
      <c r="DK92" s="465">
        <f t="shared" si="236"/>
        <v>1.6</v>
      </c>
      <c r="DL92" s="465">
        <f t="shared" si="237"/>
        <v>1.6</v>
      </c>
      <c r="DM92" s="465">
        <f t="shared" si="238"/>
        <v>3</v>
      </c>
      <c r="DN92" s="465">
        <f t="shared" si="239"/>
        <v>57</v>
      </c>
      <c r="DO92" s="465">
        <f t="shared" si="240"/>
        <v>157446</v>
      </c>
      <c r="DP92" s="465">
        <f t="shared" si="241"/>
        <v>833256</v>
      </c>
      <c r="DQ92" s="467">
        <f t="shared" si="242"/>
        <v>2.3199999999999998</v>
      </c>
      <c r="DR92" s="467">
        <f t="shared" si="243"/>
        <v>0</v>
      </c>
      <c r="DS92" s="467">
        <f t="shared" si="244"/>
        <v>6309</v>
      </c>
      <c r="DT92" s="467">
        <f t="shared" si="245"/>
        <v>25</v>
      </c>
      <c r="DU92" s="467">
        <f t="shared" si="246"/>
        <v>0.2</v>
      </c>
      <c r="DV92" s="467">
        <f t="shared" si="247"/>
        <v>0</v>
      </c>
      <c r="DW92" s="467">
        <f t="shared" si="248"/>
        <v>0</v>
      </c>
      <c r="DX92" s="467">
        <f t="shared" si="249"/>
        <v>75</v>
      </c>
      <c r="DY92" s="467">
        <f t="shared" si="250"/>
        <v>24</v>
      </c>
      <c r="DZ92" s="467">
        <f t="shared" si="251"/>
        <v>19</v>
      </c>
      <c r="EA92" s="467">
        <f t="shared" si="252"/>
        <v>3223</v>
      </c>
      <c r="EB92" s="467">
        <f t="shared" si="253"/>
        <v>90</v>
      </c>
      <c r="EC92" s="467">
        <f t="shared" si="254"/>
        <v>0</v>
      </c>
      <c r="ED92" s="467">
        <f t="shared" si="255"/>
        <v>3.79E-3</v>
      </c>
      <c r="EE92" s="467">
        <f t="shared" si="256"/>
        <v>4.6500000000000004</v>
      </c>
      <c r="EF92" s="138">
        <f t="shared" si="262"/>
        <v>2.16</v>
      </c>
      <c r="EG92" s="138" t="str">
        <f t="shared" si="263"/>
        <v>possible if water clarity improves</v>
      </c>
      <c r="EH92" s="138">
        <f t="shared" si="264"/>
        <v>2.35</v>
      </c>
      <c r="EI92" s="138">
        <f t="shared" si="265"/>
        <v>0.97</v>
      </c>
      <c r="EJ92" s="138">
        <f t="shared" si="266"/>
        <v>0.77</v>
      </c>
    </row>
    <row r="93" spans="1:140" s="275" customFormat="1" ht="44" customHeight="1" x14ac:dyDescent="0.35">
      <c r="A93" s="389">
        <v>82</v>
      </c>
      <c r="B93" s="281" t="s">
        <v>250</v>
      </c>
      <c r="C93" s="257">
        <v>82</v>
      </c>
      <c r="D93" s="256" t="s">
        <v>398</v>
      </c>
      <c r="E93" s="258"/>
      <c r="F93" s="259">
        <v>123197</v>
      </c>
      <c r="G93" s="259">
        <v>2801.453</v>
      </c>
      <c r="H93" s="260">
        <f t="shared" si="267"/>
        <v>43.976108112468779</v>
      </c>
      <c r="I93" s="260">
        <f t="shared" si="279"/>
        <v>63.703977460563166</v>
      </c>
      <c r="J93" s="261">
        <v>0</v>
      </c>
      <c r="K93" s="262">
        <v>0.89996347313652103</v>
      </c>
      <c r="L93" s="262">
        <v>0.85</v>
      </c>
      <c r="M93" s="262">
        <v>1.96190004349</v>
      </c>
      <c r="N93" s="260">
        <f t="shared" si="289"/>
        <v>12319.7</v>
      </c>
      <c r="O93" s="258"/>
      <c r="P93" s="260">
        <f t="shared" si="268"/>
        <v>121014.62116150717</v>
      </c>
      <c r="Q93" s="260">
        <f t="shared" si="290"/>
        <v>121014.62116150717</v>
      </c>
      <c r="R93" s="263">
        <f t="shared" si="189"/>
        <v>2.32380008698</v>
      </c>
      <c r="S93" s="262">
        <v>1.16190004349</v>
      </c>
      <c r="T93" s="260">
        <f t="shared" si="190"/>
        <v>286285.19931567507</v>
      </c>
      <c r="U93" s="259">
        <v>0</v>
      </c>
      <c r="V93" s="264">
        <f t="shared" si="191"/>
        <v>2.2240563057240839</v>
      </c>
      <c r="W93" s="264">
        <f t="shared" si="192"/>
        <v>6.9951686683620951</v>
      </c>
      <c r="X93" s="260">
        <f t="shared" si="193"/>
        <v>572570.39863135014</v>
      </c>
      <c r="Y93" s="263">
        <f t="shared" si="194"/>
        <v>4.3032961639122555E-2</v>
      </c>
      <c r="Z93" s="264">
        <f t="shared" si="195"/>
        <v>0.10180340095894712</v>
      </c>
      <c r="AA93" s="264">
        <f t="shared" si="196"/>
        <v>0.21135326145182456</v>
      </c>
      <c r="AB93" s="266">
        <f t="shared" si="197"/>
        <v>0.12536941927396414</v>
      </c>
      <c r="AC93" s="266">
        <f t="shared" si="280"/>
        <v>1.9772491863902559</v>
      </c>
      <c r="AD93" s="266">
        <f t="shared" si="198"/>
        <v>23.2380008698</v>
      </c>
      <c r="AE93" s="266">
        <f t="shared" si="199"/>
        <v>0.21869191636334626</v>
      </c>
      <c r="AF93" s="258"/>
      <c r="AG93" s="267">
        <v>-73.656910999999994</v>
      </c>
      <c r="AH93" s="263">
        <f>(AG93^2*-0.304-43.623*AG93-1561.6)*0.4012-0.2907</f>
        <v>0.6047402788491214</v>
      </c>
      <c r="AI93" s="263">
        <f t="shared" si="282"/>
        <v>1.984322926668147</v>
      </c>
      <c r="AJ93" s="263">
        <f t="shared" si="283"/>
        <v>2.3207765853517488</v>
      </c>
      <c r="AK93" s="263">
        <f t="shared" si="284"/>
        <v>0.95605405722510739</v>
      </c>
      <c r="AL93" s="263">
        <f t="shared" si="269"/>
        <v>0.76304502270309871</v>
      </c>
      <c r="AM93" s="262">
        <v>1.16190004349</v>
      </c>
      <c r="AN93" s="261">
        <v>0.99995941459613502</v>
      </c>
      <c r="AO93" s="261">
        <v>0.555533008108964</v>
      </c>
      <c r="AP93" s="261">
        <v>0.44442640648717102</v>
      </c>
      <c r="AQ93" s="481">
        <f t="shared" si="257"/>
        <v>2.1619000434900002</v>
      </c>
      <c r="AR93" s="268" t="str">
        <f t="shared" si="273"/>
        <v>unlikely, too shallow</v>
      </c>
      <c r="AS93" s="258"/>
      <c r="AT93" s="259">
        <v>70263220</v>
      </c>
      <c r="AU93" s="259">
        <v>4966.8323999999993</v>
      </c>
      <c r="AV93" s="259">
        <v>4966.8323999999993</v>
      </c>
      <c r="AW93" s="259">
        <v>5772.1497429488745</v>
      </c>
      <c r="AX93" s="259">
        <v>13379.249256276637</v>
      </c>
      <c r="AY93" s="259">
        <v>7478.4302199957692</v>
      </c>
      <c r="AZ93" s="259">
        <v>141.67654999999999</v>
      </c>
      <c r="BA93" s="269"/>
      <c r="BB93" s="259">
        <v>31738.338169221279</v>
      </c>
      <c r="BC93" s="260">
        <f t="shared" si="291"/>
        <v>31738.338169221279</v>
      </c>
      <c r="BD93" s="260">
        <f t="shared" si="200"/>
        <v>2576.2265452260431</v>
      </c>
      <c r="BE93" s="260">
        <f t="shared" si="287"/>
        <v>31738.338169221279</v>
      </c>
      <c r="BF93" s="260">
        <f t="shared" si="292"/>
        <v>2576.2265452260431</v>
      </c>
      <c r="BG93" s="270">
        <f t="shared" si="288"/>
        <v>15.64931463493151</v>
      </c>
      <c r="BH93" s="258"/>
      <c r="BI93" s="262">
        <f t="shared" si="258"/>
        <v>0.82192825000000014</v>
      </c>
      <c r="BJ93" s="259">
        <v>3287.7130000000006</v>
      </c>
      <c r="BK93" s="262">
        <v>0</v>
      </c>
      <c r="BL93" s="259">
        <f t="shared" si="281"/>
        <v>0</v>
      </c>
      <c r="BM93" s="259"/>
      <c r="BN93" s="258"/>
      <c r="BO93" s="260">
        <f t="shared" si="201"/>
        <v>12.319699999999999</v>
      </c>
      <c r="BP93" s="260">
        <f t="shared" si="202"/>
        <v>63.703977460563166</v>
      </c>
      <c r="BQ93" s="263">
        <f t="shared" si="214"/>
        <v>1.96190004349</v>
      </c>
      <c r="BR93" s="260">
        <f t="shared" si="203"/>
        <v>0</v>
      </c>
      <c r="BS93" s="265">
        <f t="shared" si="204"/>
        <v>0.21135326145182456</v>
      </c>
      <c r="BT93" s="263">
        <f t="shared" si="205"/>
        <v>1.9772491863902559</v>
      </c>
      <c r="BU93" s="260">
        <f t="shared" si="206"/>
        <v>15.64931463493151</v>
      </c>
      <c r="BV93" s="258"/>
      <c r="BW93" s="138"/>
      <c r="BX93" s="138"/>
      <c r="BY93" s="138"/>
      <c r="BZ93" s="138"/>
      <c r="CA93" s="138"/>
      <c r="CB93" s="138"/>
      <c r="CC93" s="138"/>
      <c r="CD93" s="138"/>
      <c r="CE93" s="138"/>
      <c r="CF93" s="138"/>
      <c r="CG93" s="138"/>
      <c r="CH93" s="138"/>
      <c r="CI93" s="258"/>
      <c r="CJ93" s="312" t="str">
        <f t="shared" si="216"/>
        <v>complex hydrodynamics</v>
      </c>
      <c r="CK93" s="313">
        <f t="shared" si="217"/>
        <v>3</v>
      </c>
      <c r="CL93" s="312" t="str">
        <f t="shared" si="218"/>
        <v>intermediate complexity water quality</v>
      </c>
      <c r="CM93" s="313">
        <f t="shared" si="219"/>
        <v>2</v>
      </c>
      <c r="CN93" s="312" t="str">
        <f t="shared" si="220"/>
        <v>shallow</v>
      </c>
      <c r="CO93" s="313">
        <f t="shared" si="221"/>
        <v>1</v>
      </c>
      <c r="CP93" s="312" t="str">
        <f t="shared" si="222"/>
        <v>very small</v>
      </c>
      <c r="CQ93" s="313">
        <f t="shared" si="223"/>
        <v>2</v>
      </c>
      <c r="CR93" s="312" t="str">
        <f t="shared" si="224"/>
        <v>very high</v>
      </c>
      <c r="CS93" s="313">
        <f t="shared" si="225"/>
        <v>5</v>
      </c>
      <c r="CT93" s="312" t="str">
        <f t="shared" si="226"/>
        <v>none</v>
      </c>
      <c r="CU93" s="313">
        <f t="shared" si="227"/>
        <v>1</v>
      </c>
      <c r="CV93" s="313">
        <f t="shared" si="228"/>
        <v>116</v>
      </c>
      <c r="CW93" s="313" t="str">
        <f t="shared" si="229"/>
        <v>intermediate complexity hydrodynamics</v>
      </c>
      <c r="CX93" s="313">
        <f t="shared" si="271"/>
        <v>64</v>
      </c>
      <c r="CY93" s="313" t="str">
        <f t="shared" si="230"/>
        <v>intermediate complexity water quality</v>
      </c>
      <c r="CZ93" s="216" t="s">
        <v>651</v>
      </c>
      <c r="DA93" s="272" t="str">
        <f t="shared" si="276"/>
        <v>WASP</v>
      </c>
      <c r="DB93" s="271" t="str">
        <f t="shared" si="259"/>
        <v>intermediate complexity hydrodynamics; intermediate complexity water quality (WASP)</v>
      </c>
      <c r="DC93" s="274"/>
      <c r="DD93" s="475" t="str">
        <f t="shared" si="260"/>
        <v>Byram River</v>
      </c>
      <c r="DE93" s="475">
        <f t="shared" si="261"/>
        <v>82</v>
      </c>
      <c r="DF93" s="464">
        <f t="shared" si="231"/>
        <v>70.260000000000005</v>
      </c>
      <c r="DG93" s="479">
        <f t="shared" si="232"/>
        <v>0.12</v>
      </c>
      <c r="DH93" s="464">
        <f t="shared" si="233"/>
        <v>2.8</v>
      </c>
      <c r="DI93" s="464">
        <f t="shared" si="234"/>
        <v>44</v>
      </c>
      <c r="DJ93" s="464">
        <f t="shared" si="235"/>
        <v>64</v>
      </c>
      <c r="DK93" s="464">
        <f t="shared" si="236"/>
        <v>0.9</v>
      </c>
      <c r="DL93" s="464">
        <f t="shared" si="237"/>
        <v>0.9</v>
      </c>
      <c r="DM93" s="464">
        <f t="shared" si="238"/>
        <v>2</v>
      </c>
      <c r="DN93" s="464">
        <f t="shared" si="239"/>
        <v>0</v>
      </c>
      <c r="DO93" s="464">
        <f t="shared" si="240"/>
        <v>12320</v>
      </c>
      <c r="DP93" s="464">
        <f t="shared" si="241"/>
        <v>286285</v>
      </c>
      <c r="DQ93" s="467">
        <f t="shared" si="242"/>
        <v>2.3199999999999998</v>
      </c>
      <c r="DR93" s="464">
        <f t="shared" si="243"/>
        <v>0</v>
      </c>
      <c r="DS93" s="464">
        <f t="shared" si="244"/>
        <v>121015</v>
      </c>
      <c r="DT93" s="464">
        <f t="shared" si="245"/>
        <v>0.1</v>
      </c>
      <c r="DU93" s="464">
        <f t="shared" si="246"/>
        <v>0</v>
      </c>
      <c r="DV93" s="464">
        <f t="shared" si="247"/>
        <v>0.82</v>
      </c>
      <c r="DW93" s="464">
        <f t="shared" si="248"/>
        <v>0</v>
      </c>
      <c r="DX93" s="464">
        <f t="shared" si="249"/>
        <v>100</v>
      </c>
      <c r="DY93" s="464">
        <f t="shared" si="250"/>
        <v>56</v>
      </c>
      <c r="DZ93" s="464">
        <f t="shared" si="251"/>
        <v>44</v>
      </c>
      <c r="EA93" s="464">
        <f t="shared" si="252"/>
        <v>31738</v>
      </c>
      <c r="EB93" s="464">
        <f t="shared" si="253"/>
        <v>2576</v>
      </c>
      <c r="EC93" s="464">
        <f t="shared" si="254"/>
        <v>16</v>
      </c>
      <c r="ED93" s="464">
        <f t="shared" si="255"/>
        <v>0.21135000000000001</v>
      </c>
      <c r="EE93" s="464">
        <f t="shared" si="256"/>
        <v>1.98</v>
      </c>
      <c r="EF93" s="275">
        <f t="shared" si="262"/>
        <v>2.16</v>
      </c>
      <c r="EG93" s="275" t="str">
        <f t="shared" si="263"/>
        <v>unlikely, too shallow</v>
      </c>
      <c r="EH93" s="275">
        <f t="shared" si="264"/>
        <v>2.3199999999999998</v>
      </c>
      <c r="EI93" s="275">
        <f t="shared" si="265"/>
        <v>0.96</v>
      </c>
      <c r="EJ93" s="275">
        <f t="shared" si="266"/>
        <v>0.76</v>
      </c>
    </row>
    <row r="94" spans="1:140" s="275" customFormat="1" ht="44" customHeight="1" x14ac:dyDescent="0.35">
      <c r="A94" s="389">
        <v>83</v>
      </c>
      <c r="B94" s="281" t="s">
        <v>81</v>
      </c>
      <c r="C94" s="257">
        <v>83</v>
      </c>
      <c r="D94" s="256" t="s">
        <v>399</v>
      </c>
      <c r="E94" s="258"/>
      <c r="F94" s="259">
        <v>703961</v>
      </c>
      <c r="G94" s="259">
        <v>2051.5360000000001</v>
      </c>
      <c r="H94" s="260">
        <f t="shared" si="267"/>
        <v>343.13850695283924</v>
      </c>
      <c r="I94" s="260">
        <f t="shared" si="279"/>
        <v>5.9787402417122539</v>
      </c>
      <c r="J94" s="261">
        <v>0.50340004630938362</v>
      </c>
      <c r="K94" s="262">
        <v>1.6087457820443001</v>
      </c>
      <c r="L94" s="262">
        <v>1.55</v>
      </c>
      <c r="M94" s="262">
        <v>3.26</v>
      </c>
      <c r="N94" s="260">
        <f t="shared" si="289"/>
        <v>314561.97295842366</v>
      </c>
      <c r="O94" s="258"/>
      <c r="P94" s="260">
        <f t="shared" si="268"/>
        <v>1336.5471372379852</v>
      </c>
      <c r="Q94" s="453">
        <f>P93+P94+P95</f>
        <v>124868.91953215307</v>
      </c>
      <c r="R94" s="263">
        <f t="shared" si="189"/>
        <v>2.32380008698</v>
      </c>
      <c r="S94" s="262">
        <v>1.16190004349</v>
      </c>
      <c r="T94" s="260">
        <f t="shared" si="190"/>
        <v>1635864.6330305277</v>
      </c>
      <c r="U94" s="259">
        <v>0</v>
      </c>
      <c r="V94" s="264">
        <f t="shared" si="191"/>
        <v>1.76560528391006</v>
      </c>
      <c r="W94" s="264">
        <f t="shared" si="192"/>
        <v>5.5332258841734658</v>
      </c>
      <c r="X94" s="260">
        <f t="shared" si="193"/>
        <v>3271729.2660610555</v>
      </c>
      <c r="Y94" s="263">
        <f t="shared" si="194"/>
        <v>0.19229095525812584</v>
      </c>
      <c r="Z94" s="264">
        <f t="shared" si="195"/>
        <v>2.5191374614034814</v>
      </c>
      <c r="AA94" s="264">
        <f t="shared" si="196"/>
        <v>3.816603067603052E-2</v>
      </c>
      <c r="AB94" s="266">
        <f t="shared" si="197"/>
        <v>2.7770473105193403E-2</v>
      </c>
      <c r="AC94" s="266">
        <f t="shared" si="280"/>
        <v>2.425409245979405</v>
      </c>
      <c r="AD94" s="266">
        <f t="shared" si="198"/>
        <v>5.2004526092120598</v>
      </c>
      <c r="AE94" s="266">
        <f t="shared" si="199"/>
        <v>3.9491240074503803E-2</v>
      </c>
      <c r="AF94" s="258"/>
      <c r="AG94" s="267">
        <v>-73.656910999999994</v>
      </c>
      <c r="AH94" s="263">
        <f>(AG94^2*-0.304-43.623*AG94-1561.6)*0.4012-0.2907</f>
        <v>0.6047402788491214</v>
      </c>
      <c r="AI94" s="263">
        <f>1.2/AH94</f>
        <v>1.984322926668147</v>
      </c>
      <c r="AJ94" s="263">
        <f>-LN(0.01)/AI94</f>
        <v>2.3207765853517488</v>
      </c>
      <c r="AK94" s="263">
        <f>-LN(0.15)/AI94</f>
        <v>0.95605405722510739</v>
      </c>
      <c r="AL94" s="263">
        <f t="shared" si="269"/>
        <v>0.76304502270309871</v>
      </c>
      <c r="AM94" s="262">
        <v>1.16190004349</v>
      </c>
      <c r="AN94" s="261">
        <v>0.73506539200474497</v>
      </c>
      <c r="AO94" s="261">
        <v>0.27589596582765202</v>
      </c>
      <c r="AP94" s="261">
        <v>0.220716772662122</v>
      </c>
      <c r="AQ94" s="481">
        <f t="shared" si="257"/>
        <v>2.1619000434900002</v>
      </c>
      <c r="AR94" s="268" t="str">
        <f t="shared" si="273"/>
        <v>possible if water clarity improves</v>
      </c>
      <c r="AS94" s="258"/>
      <c r="AT94" s="259">
        <v>741495.1</v>
      </c>
      <c r="AU94" s="259">
        <v>0</v>
      </c>
      <c r="AV94" s="259">
        <v>0</v>
      </c>
      <c r="AW94" s="259">
        <v>0</v>
      </c>
      <c r="AX94" s="259">
        <v>467.60174289474827</v>
      </c>
      <c r="AY94" s="259">
        <v>131.34904437477863</v>
      </c>
      <c r="AZ94" s="259">
        <v>809.55515000000003</v>
      </c>
      <c r="BA94" s="269"/>
      <c r="BB94" s="259">
        <v>1408.5059372695268</v>
      </c>
      <c r="BC94" s="260">
        <f t="shared" si="291"/>
        <v>1408.5059372695268</v>
      </c>
      <c r="BD94" s="260">
        <f t="shared" si="200"/>
        <v>20.008295023013019</v>
      </c>
      <c r="BE94" s="453">
        <f>(BC93+BC94+BC95)</f>
        <v>34428.675575190195</v>
      </c>
      <c r="BF94" s="453">
        <f>(BC94+BC93+BC95)/SUM(F93:F95)*10000</f>
        <v>289.09261542897178</v>
      </c>
      <c r="BG94" s="280">
        <f>(AV94+AV93+AV95)/BE94*100</f>
        <v>14.426440509315356</v>
      </c>
      <c r="BH94" s="258"/>
      <c r="BI94" s="262">
        <f t="shared" si="258"/>
        <v>1.7167070000000002</v>
      </c>
      <c r="BJ94" s="259">
        <v>6866.8280000000004</v>
      </c>
      <c r="BK94" s="262">
        <v>0</v>
      </c>
      <c r="BL94" s="259">
        <f t="shared" si="281"/>
        <v>0</v>
      </c>
      <c r="BM94" s="259"/>
      <c r="BN94" s="258"/>
      <c r="BO94" s="260">
        <f t="shared" si="201"/>
        <v>70.396100000000004</v>
      </c>
      <c r="BP94" s="260">
        <f t="shared" si="202"/>
        <v>5.9787402417122539</v>
      </c>
      <c r="BQ94" s="263">
        <f t="shared" si="214"/>
        <v>3.26</v>
      </c>
      <c r="BR94" s="260">
        <f t="shared" si="203"/>
        <v>0</v>
      </c>
      <c r="BS94" s="265">
        <f t="shared" si="204"/>
        <v>3.816603067603052E-2</v>
      </c>
      <c r="BT94" s="263">
        <f t="shared" si="205"/>
        <v>2.425409245979405</v>
      </c>
      <c r="BU94" s="260">
        <f t="shared" si="206"/>
        <v>14.426440509315356</v>
      </c>
      <c r="BV94" s="258"/>
      <c r="BW94" s="138"/>
      <c r="BX94" s="138"/>
      <c r="BY94" s="138"/>
      <c r="BZ94" s="138"/>
      <c r="CA94" s="138"/>
      <c r="CB94" s="138"/>
      <c r="CC94" s="138"/>
      <c r="CD94" s="138"/>
      <c r="CE94" s="138"/>
      <c r="CF94" s="138"/>
      <c r="CG94" s="138"/>
      <c r="CH94" s="138"/>
      <c r="CI94" s="258"/>
      <c r="CJ94" s="312" t="str">
        <f t="shared" si="216"/>
        <v>intermediate complexity hydrodynamics</v>
      </c>
      <c r="CK94" s="313">
        <f t="shared" si="217"/>
        <v>2</v>
      </c>
      <c r="CL94" s="312" t="str">
        <f t="shared" si="218"/>
        <v>intermediate complexity water quality</v>
      </c>
      <c r="CM94" s="313">
        <f t="shared" si="219"/>
        <v>2</v>
      </c>
      <c r="CN94" s="312" t="str">
        <f t="shared" si="220"/>
        <v>shallow</v>
      </c>
      <c r="CO94" s="313">
        <f t="shared" si="221"/>
        <v>1</v>
      </c>
      <c r="CP94" s="312" t="str">
        <f t="shared" si="222"/>
        <v>mid-size</v>
      </c>
      <c r="CQ94" s="313">
        <f t="shared" si="223"/>
        <v>4</v>
      </c>
      <c r="CR94" s="312" t="str">
        <f t="shared" si="224"/>
        <v>very low</v>
      </c>
      <c r="CS94" s="313">
        <f t="shared" si="225"/>
        <v>1</v>
      </c>
      <c r="CT94" s="312" t="str">
        <f t="shared" si="226"/>
        <v>none</v>
      </c>
      <c r="CU94" s="313">
        <f t="shared" si="227"/>
        <v>1</v>
      </c>
      <c r="CV94" s="313">
        <f t="shared" si="228"/>
        <v>112</v>
      </c>
      <c r="CW94" s="313" t="str">
        <f t="shared" si="229"/>
        <v>intermediate complexity hydrodynamics</v>
      </c>
      <c r="CX94" s="313">
        <f t="shared" si="271"/>
        <v>68</v>
      </c>
      <c r="CY94" s="313" t="str">
        <f t="shared" si="230"/>
        <v>intermediate complexity water quality</v>
      </c>
      <c r="CZ94" s="216" t="s">
        <v>402</v>
      </c>
      <c r="DA94" s="272" t="str">
        <f t="shared" si="276"/>
        <v>WASP</v>
      </c>
      <c r="DB94" s="271" t="str">
        <f t="shared" si="259"/>
        <v>intermediate complexity hydrodynamics; intermediate complexity water quality (WASP)</v>
      </c>
      <c r="DC94" s="274"/>
      <c r="DD94" s="475" t="str">
        <f t="shared" si="260"/>
        <v>Kirby Pond, NY</v>
      </c>
      <c r="DE94" s="475">
        <f t="shared" si="261"/>
        <v>83</v>
      </c>
      <c r="DF94" s="464">
        <f t="shared" si="231"/>
        <v>0.74</v>
      </c>
      <c r="DG94" s="479">
        <f t="shared" si="232"/>
        <v>0.7</v>
      </c>
      <c r="DH94" s="464">
        <f t="shared" si="233"/>
        <v>2.0499999999999998</v>
      </c>
      <c r="DI94" s="464">
        <f t="shared" si="234"/>
        <v>343.1</v>
      </c>
      <c r="DJ94" s="464">
        <f t="shared" si="235"/>
        <v>6</v>
      </c>
      <c r="DK94" s="464">
        <f t="shared" si="236"/>
        <v>1.6</v>
      </c>
      <c r="DL94" s="464">
        <f t="shared" si="237"/>
        <v>1.6</v>
      </c>
      <c r="DM94" s="464">
        <f t="shared" si="238"/>
        <v>3.3</v>
      </c>
      <c r="DN94" s="464">
        <f t="shared" si="239"/>
        <v>50</v>
      </c>
      <c r="DO94" s="464">
        <f t="shared" si="240"/>
        <v>314562</v>
      </c>
      <c r="DP94" s="464">
        <f t="shared" si="241"/>
        <v>1635865</v>
      </c>
      <c r="DQ94" s="467">
        <f t="shared" si="242"/>
        <v>2.3199999999999998</v>
      </c>
      <c r="DR94" s="464">
        <f t="shared" si="243"/>
        <v>0</v>
      </c>
      <c r="DS94" s="464">
        <f t="shared" si="244"/>
        <v>124869</v>
      </c>
      <c r="DT94" s="464">
        <f t="shared" si="245"/>
        <v>2.5</v>
      </c>
      <c r="DU94" s="464">
        <f t="shared" si="246"/>
        <v>0.2</v>
      </c>
      <c r="DV94" s="464">
        <f t="shared" si="247"/>
        <v>1.72</v>
      </c>
      <c r="DW94" s="464">
        <f t="shared" si="248"/>
        <v>0</v>
      </c>
      <c r="DX94" s="464">
        <f t="shared" si="249"/>
        <v>74</v>
      </c>
      <c r="DY94" s="464">
        <f t="shared" si="250"/>
        <v>28</v>
      </c>
      <c r="DZ94" s="464">
        <f t="shared" si="251"/>
        <v>22</v>
      </c>
      <c r="EA94" s="464">
        <f t="shared" si="252"/>
        <v>34429</v>
      </c>
      <c r="EB94" s="464">
        <f t="shared" si="253"/>
        <v>289</v>
      </c>
      <c r="EC94" s="464">
        <f t="shared" si="254"/>
        <v>14</v>
      </c>
      <c r="ED94" s="464">
        <f t="shared" si="255"/>
        <v>3.8170000000000003E-2</v>
      </c>
      <c r="EE94" s="464">
        <f t="shared" si="256"/>
        <v>2.4300000000000002</v>
      </c>
      <c r="EF94" s="275">
        <f t="shared" si="262"/>
        <v>2.16</v>
      </c>
      <c r="EG94" s="275" t="str">
        <f t="shared" si="263"/>
        <v>possible if water clarity improves</v>
      </c>
      <c r="EH94" s="275">
        <f t="shared" si="264"/>
        <v>2.3199999999999998</v>
      </c>
      <c r="EI94" s="275">
        <f t="shared" si="265"/>
        <v>0.96</v>
      </c>
      <c r="EJ94" s="275">
        <f t="shared" si="266"/>
        <v>0.76</v>
      </c>
    </row>
    <row r="95" spans="1:140" s="275" customFormat="1" ht="44" customHeight="1" x14ac:dyDescent="0.35">
      <c r="A95" s="389">
        <v>84</v>
      </c>
      <c r="B95" s="281" t="s">
        <v>82</v>
      </c>
      <c r="C95" s="257">
        <v>84</v>
      </c>
      <c r="D95" s="256" t="s">
        <v>398</v>
      </c>
      <c r="E95" s="258"/>
      <c r="F95" s="259">
        <v>363764</v>
      </c>
      <c r="G95" s="259">
        <v>1382.83</v>
      </c>
      <c r="H95" s="260">
        <f t="shared" si="267"/>
        <v>263.05764266034151</v>
      </c>
      <c r="I95" s="260">
        <f t="shared" si="279"/>
        <v>5.2567566029073785</v>
      </c>
      <c r="J95" s="261">
        <v>0</v>
      </c>
      <c r="K95" s="262">
        <v>0.89999505173684102</v>
      </c>
      <c r="L95" s="262">
        <v>0.85</v>
      </c>
      <c r="M95" s="262">
        <v>1.96190004349</v>
      </c>
      <c r="N95" s="260">
        <f t="shared" si="289"/>
        <v>36376.400000000001</v>
      </c>
      <c r="O95" s="258"/>
      <c r="P95" s="260">
        <f t="shared" si="268"/>
        <v>2517.7512334079288</v>
      </c>
      <c r="Q95" s="260">
        <f>P95</f>
        <v>2517.7512334079288</v>
      </c>
      <c r="R95" s="263">
        <f t="shared" si="189"/>
        <v>2.32380008698</v>
      </c>
      <c r="S95" s="262">
        <v>1.16190004349</v>
      </c>
      <c r="T95" s="260">
        <f t="shared" si="190"/>
        <v>845314.81484019267</v>
      </c>
      <c r="U95" s="259">
        <v>0</v>
      </c>
      <c r="V95" s="264">
        <f t="shared" si="191"/>
        <v>1.2210040704983751</v>
      </c>
      <c r="W95" s="264">
        <f t="shared" si="192"/>
        <v>3.8208834207829168</v>
      </c>
      <c r="X95" s="260">
        <f t="shared" si="193"/>
        <v>1690629.6296803853</v>
      </c>
      <c r="Y95" s="263">
        <f t="shared" si="194"/>
        <v>4.3032961639122562E-2</v>
      </c>
      <c r="Z95" s="264">
        <f t="shared" si="195"/>
        <v>14.447972268794141</v>
      </c>
      <c r="AA95" s="264">
        <f t="shared" si="196"/>
        <v>1.4892387955390983E-3</v>
      </c>
      <c r="AB95" s="266">
        <f t="shared" si="197"/>
        <v>2.074165000117833E-3</v>
      </c>
      <c r="AC95" s="266">
        <f t="shared" si="280"/>
        <v>4.6425619279031158</v>
      </c>
      <c r="AD95" s="266">
        <f t="shared" si="198"/>
        <v>23.238000869799997</v>
      </c>
      <c r="AE95" s="266">
        <f t="shared" si="199"/>
        <v>1.5409484759397612E-3</v>
      </c>
      <c r="AF95" s="258"/>
      <c r="AG95" s="267">
        <v>-73.656910999999994</v>
      </c>
      <c r="AH95" s="263">
        <f>(AG95^2*-0.304-43.623*AG95-1561.6)*0.4012-0.2907</f>
        <v>0.6047402788491214</v>
      </c>
      <c r="AI95" s="263">
        <f>1.2/AH95</f>
        <v>1.984322926668147</v>
      </c>
      <c r="AJ95" s="263">
        <f>-LN(0.01)/AI95</f>
        <v>2.3207765853517488</v>
      </c>
      <c r="AK95" s="263">
        <f>-LN(0.15)/AI95</f>
        <v>0.95605405722510739</v>
      </c>
      <c r="AL95" s="263">
        <f t="shared" si="269"/>
        <v>0.76304502270309871</v>
      </c>
      <c r="AM95" s="262">
        <v>1.16190004349</v>
      </c>
      <c r="AN95" s="261">
        <v>0.99999450192982298</v>
      </c>
      <c r="AO95" s="261">
        <v>0.55555250107212395</v>
      </c>
      <c r="AP95" s="261">
        <v>0.44444200085769903</v>
      </c>
      <c r="AQ95" s="481">
        <f t="shared" si="257"/>
        <v>2.1619000434900002</v>
      </c>
      <c r="AR95" s="268" t="str">
        <f t="shared" si="273"/>
        <v>unlikely, too shallow</v>
      </c>
      <c r="AS95" s="258"/>
      <c r="AT95" s="259">
        <v>1405772</v>
      </c>
      <c r="AU95" s="259">
        <v>0</v>
      </c>
      <c r="AV95" s="259">
        <v>0</v>
      </c>
      <c r="AW95" s="259">
        <v>0</v>
      </c>
      <c r="AX95" s="259">
        <v>573.57800548365537</v>
      </c>
      <c r="AY95" s="259">
        <v>289.92486321573176</v>
      </c>
      <c r="AZ95" s="259">
        <v>418.32859999999999</v>
      </c>
      <c r="BA95" s="269"/>
      <c r="BB95" s="259">
        <v>1281.8314686993872</v>
      </c>
      <c r="BC95" s="260">
        <f t="shared" si="291"/>
        <v>1281.8314686993872</v>
      </c>
      <c r="BD95" s="260">
        <f t="shared" si="200"/>
        <v>35.237996852337979</v>
      </c>
      <c r="BE95" s="260">
        <f>BC95</f>
        <v>1281.8314686993872</v>
      </c>
      <c r="BF95" s="260">
        <f t="shared" si="292"/>
        <v>35.237996852337979</v>
      </c>
      <c r="BG95" s="270">
        <f>AV95/BE95*100</f>
        <v>0</v>
      </c>
      <c r="BH95" s="258"/>
      <c r="BI95" s="262">
        <f t="shared" si="258"/>
        <v>5.0752775000000003</v>
      </c>
      <c r="BJ95" s="259">
        <v>20301.11</v>
      </c>
      <c r="BK95" s="262">
        <v>0</v>
      </c>
      <c r="BL95" s="259">
        <f t="shared" si="281"/>
        <v>0</v>
      </c>
      <c r="BM95" s="259"/>
      <c r="BN95" s="258"/>
      <c r="BO95" s="260">
        <f t="shared" si="201"/>
        <v>36.376399999999997</v>
      </c>
      <c r="BP95" s="260">
        <f t="shared" si="202"/>
        <v>5.2567566029073785</v>
      </c>
      <c r="BQ95" s="263">
        <f t="shared" si="214"/>
        <v>1.96190004349</v>
      </c>
      <c r="BR95" s="260">
        <f t="shared" si="203"/>
        <v>0</v>
      </c>
      <c r="BS95" s="265">
        <f t="shared" si="204"/>
        <v>1.4892387955390983E-3</v>
      </c>
      <c r="BT95" s="263">
        <f t="shared" si="205"/>
        <v>4.6425619279031158</v>
      </c>
      <c r="BU95" s="260">
        <f t="shared" si="206"/>
        <v>0</v>
      </c>
      <c r="BV95" s="258"/>
      <c r="BW95" s="138"/>
      <c r="BX95" s="138"/>
      <c r="BY95" s="138"/>
      <c r="BZ95" s="138"/>
      <c r="CA95" s="138"/>
      <c r="CB95" s="138"/>
      <c r="CC95" s="138"/>
      <c r="CD95" s="138"/>
      <c r="CE95" s="138"/>
      <c r="CF95" s="138"/>
      <c r="CG95" s="138"/>
      <c r="CH95" s="138"/>
      <c r="CI95" s="258"/>
      <c r="CJ95" s="312" t="str">
        <f t="shared" si="216"/>
        <v>simple complexity hydrodynamics</v>
      </c>
      <c r="CK95" s="313">
        <f t="shared" si="217"/>
        <v>1</v>
      </c>
      <c r="CL95" s="312" t="str">
        <f t="shared" si="218"/>
        <v>intermediate or complex water quality</v>
      </c>
      <c r="CM95" s="313">
        <f t="shared" si="219"/>
        <v>3</v>
      </c>
      <c r="CN95" s="312" t="str">
        <f t="shared" si="220"/>
        <v>shallow</v>
      </c>
      <c r="CO95" s="313">
        <f t="shared" si="221"/>
        <v>1</v>
      </c>
      <c r="CP95" s="312" t="str">
        <f t="shared" si="222"/>
        <v>small</v>
      </c>
      <c r="CQ95" s="313">
        <f t="shared" si="223"/>
        <v>3</v>
      </c>
      <c r="CR95" s="312" t="str">
        <f t="shared" si="224"/>
        <v>very low</v>
      </c>
      <c r="CS95" s="313">
        <f t="shared" si="225"/>
        <v>1</v>
      </c>
      <c r="CT95" s="312" t="str">
        <f t="shared" si="226"/>
        <v>none</v>
      </c>
      <c r="CU95" s="313">
        <f t="shared" si="227"/>
        <v>1</v>
      </c>
      <c r="CV95" s="313">
        <f t="shared" si="228"/>
        <v>92</v>
      </c>
      <c r="CW95" s="313" t="str">
        <f t="shared" si="229"/>
        <v>intermediate complexity hydrodynamics</v>
      </c>
      <c r="CX95" s="313">
        <f t="shared" si="271"/>
        <v>79</v>
      </c>
      <c r="CY95" s="313" t="str">
        <f t="shared" si="230"/>
        <v>intermediate complexity water quality</v>
      </c>
      <c r="CZ95" s="216" t="s">
        <v>652</v>
      </c>
      <c r="DA95" s="272" t="str">
        <f t="shared" si="276"/>
        <v>-</v>
      </c>
      <c r="DB95" s="271" t="str">
        <f t="shared" si="259"/>
        <v>intermediate complexity hydrodynamics; intermediate complexity water quality</v>
      </c>
      <c r="DC95" s="274"/>
      <c r="DD95" s="475" t="str">
        <f t="shared" si="260"/>
        <v>Playland Lake, NY</v>
      </c>
      <c r="DE95" s="475">
        <f t="shared" si="261"/>
        <v>84</v>
      </c>
      <c r="DF95" s="464">
        <f t="shared" si="231"/>
        <v>1.41</v>
      </c>
      <c r="DG95" s="479">
        <f t="shared" si="232"/>
        <v>0.36</v>
      </c>
      <c r="DH95" s="464">
        <f t="shared" si="233"/>
        <v>1.38</v>
      </c>
      <c r="DI95" s="464">
        <f t="shared" si="234"/>
        <v>263.10000000000002</v>
      </c>
      <c r="DJ95" s="464">
        <f t="shared" si="235"/>
        <v>5</v>
      </c>
      <c r="DK95" s="464">
        <f t="shared" si="236"/>
        <v>0.9</v>
      </c>
      <c r="DL95" s="464">
        <f t="shared" si="237"/>
        <v>0.9</v>
      </c>
      <c r="DM95" s="464">
        <f t="shared" si="238"/>
        <v>2</v>
      </c>
      <c r="DN95" s="464">
        <f t="shared" si="239"/>
        <v>0</v>
      </c>
      <c r="DO95" s="464">
        <f t="shared" si="240"/>
        <v>36376</v>
      </c>
      <c r="DP95" s="464">
        <f t="shared" si="241"/>
        <v>845315</v>
      </c>
      <c r="DQ95" s="467">
        <f t="shared" si="242"/>
        <v>2.3199999999999998</v>
      </c>
      <c r="DR95" s="464">
        <f t="shared" si="243"/>
        <v>0</v>
      </c>
      <c r="DS95" s="464">
        <f t="shared" si="244"/>
        <v>2518</v>
      </c>
      <c r="DT95" s="464">
        <f t="shared" si="245"/>
        <v>14.4</v>
      </c>
      <c r="DU95" s="464">
        <f t="shared" si="246"/>
        <v>0</v>
      </c>
      <c r="DV95" s="464">
        <f t="shared" si="247"/>
        <v>5.08</v>
      </c>
      <c r="DW95" s="464">
        <f t="shared" si="248"/>
        <v>0</v>
      </c>
      <c r="DX95" s="464">
        <f t="shared" si="249"/>
        <v>100</v>
      </c>
      <c r="DY95" s="464">
        <f t="shared" si="250"/>
        <v>56</v>
      </c>
      <c r="DZ95" s="464">
        <f t="shared" si="251"/>
        <v>44</v>
      </c>
      <c r="EA95" s="464">
        <f t="shared" si="252"/>
        <v>1282</v>
      </c>
      <c r="EB95" s="464">
        <f t="shared" si="253"/>
        <v>35</v>
      </c>
      <c r="EC95" s="464">
        <f t="shared" si="254"/>
        <v>0</v>
      </c>
      <c r="ED95" s="464">
        <f t="shared" si="255"/>
        <v>1.49E-3</v>
      </c>
      <c r="EE95" s="464">
        <f t="shared" si="256"/>
        <v>4.6399999999999997</v>
      </c>
      <c r="EF95" s="275">
        <f t="shared" si="262"/>
        <v>2.16</v>
      </c>
      <c r="EG95" s="275" t="str">
        <f t="shared" si="263"/>
        <v>unlikely, too shallow</v>
      </c>
      <c r="EH95" s="275">
        <f t="shared" si="264"/>
        <v>2.3199999999999998</v>
      </c>
      <c r="EI95" s="275">
        <f t="shared" si="265"/>
        <v>0.96</v>
      </c>
      <c r="EJ95" s="275">
        <f t="shared" si="266"/>
        <v>0.76</v>
      </c>
    </row>
    <row r="96" spans="1:140" ht="44" customHeight="1" x14ac:dyDescent="0.35">
      <c r="A96" s="388">
        <v>84.5</v>
      </c>
      <c r="B96" s="215" t="s">
        <v>486</v>
      </c>
      <c r="C96" s="210" t="s">
        <v>480</v>
      </c>
      <c r="D96" s="196"/>
      <c r="E96" s="221"/>
      <c r="F96" s="197">
        <f>F94+F95+F93</f>
        <v>1190922</v>
      </c>
      <c r="G96" s="197">
        <f>G94+G95+G93</f>
        <v>6235.8189999999995</v>
      </c>
      <c r="H96" s="241">
        <f t="shared" si="267"/>
        <v>190.98084790466177</v>
      </c>
      <c r="I96" s="241">
        <f>G96/H96</f>
        <v>32.651541075537267</v>
      </c>
      <c r="J96" s="452">
        <f>SUM(J94*($F94/$F96),J95*($F95/$F96),J93*($F93/$F96))</f>
        <v>0.29756272870935291</v>
      </c>
      <c r="K96" s="242">
        <f>SUM(K94*($F94/$F96),K95*($F95/$F96),K93*($F93/$F96))</f>
        <v>1.3189385110642742</v>
      </c>
      <c r="L96" s="242">
        <f>SUM(L94*($F94/$F96),L95*($F95/$F96),L93*($F93/$F96))</f>
        <v>1.2637741178683406</v>
      </c>
      <c r="M96" s="242">
        <f>MAX(M93:M95)</f>
        <v>3.26</v>
      </c>
      <c r="N96" s="241">
        <f>N95+N94+N93</f>
        <v>363258.0729584237</v>
      </c>
      <c r="O96" s="221"/>
      <c r="P96" s="241"/>
      <c r="Q96" s="457">
        <f>Q94</f>
        <v>124868.91953215307</v>
      </c>
      <c r="R96" s="242">
        <f t="shared" si="189"/>
        <v>2.32380008698</v>
      </c>
      <c r="S96" s="213">
        <f>S95</f>
        <v>1.16190004349</v>
      </c>
      <c r="T96" s="241">
        <f t="shared" si="190"/>
        <v>2767464.6471863957</v>
      </c>
      <c r="U96" s="197">
        <v>0</v>
      </c>
      <c r="V96" s="243">
        <f t="shared" si="191"/>
        <v>4.0582876675198039</v>
      </c>
      <c r="W96" s="243">
        <f t="shared" si="192"/>
        <v>12.92328934663203</v>
      </c>
      <c r="X96" s="241">
        <f t="shared" si="193"/>
        <v>5534929.2943727914</v>
      </c>
      <c r="Y96" s="242">
        <f t="shared" si="194"/>
        <v>0.13126023970269612</v>
      </c>
      <c r="Z96" s="243">
        <f t="shared" si="195"/>
        <v>2.9091152091284549</v>
      </c>
      <c r="AA96" s="243">
        <f t="shared" si="196"/>
        <v>2.2560165250729368E-2</v>
      </c>
      <c r="AB96" s="245">
        <f t="shared" si="197"/>
        <v>1.666581298436183E-2</v>
      </c>
      <c r="AC96" s="245">
        <f t="shared" si="280"/>
        <v>2.4624247797155103</v>
      </c>
      <c r="AD96" s="245">
        <f t="shared" si="198"/>
        <v>7.61845325183769</v>
      </c>
      <c r="AE96" s="245">
        <f t="shared" si="199"/>
        <v>2.334350432193525E-2</v>
      </c>
      <c r="AF96" s="221"/>
      <c r="AG96" s="211">
        <f>AG95</f>
        <v>-73.656910999999994</v>
      </c>
      <c r="AH96" s="242">
        <f>AH95</f>
        <v>0.6047402788491214</v>
      </c>
      <c r="AI96" s="242">
        <f>1.2/AH96</f>
        <v>1.984322926668147</v>
      </c>
      <c r="AJ96" s="242">
        <f>-LN(0.01)/AI96</f>
        <v>2.3207765853517488</v>
      </c>
      <c r="AK96" s="242">
        <f>-LN(0.15)/AI96</f>
        <v>0.95605405722510739</v>
      </c>
      <c r="AL96" s="242">
        <f t="shared" si="269"/>
        <v>0.76304502270309871</v>
      </c>
      <c r="AM96" s="242">
        <f>SUM(AM94*($F94/$F96),AM95*($F95/$F96),AM93*($F93/$F96))</f>
        <v>1.1619000434900002</v>
      </c>
      <c r="AN96" s="452">
        <f>SUM(AN94*($F94/$F96),AN95*($F95/$F96),AN93*($F93/$F96))</f>
        <v>0.84338971689250219</v>
      </c>
      <c r="AO96" s="452">
        <f>SUM(AO94*($F94/$F96),AO95*($F95/$F96),AO93*($F93/$F96))</f>
        <v>0.39024386147875334</v>
      </c>
      <c r="AP96" s="452">
        <f>SUM(AP94*($F94/$F96),AP95*($F95/$F96),AP93*($F93/$F96))</f>
        <v>0.31219508918300287</v>
      </c>
      <c r="AQ96" s="483">
        <f t="shared" si="257"/>
        <v>2.1619000434900002</v>
      </c>
      <c r="AR96" s="247" t="str">
        <f t="shared" si="273"/>
        <v>possible if water clarity improves</v>
      </c>
      <c r="AS96" s="221"/>
      <c r="AT96" s="241">
        <f t="shared" ref="AT96:AY96" si="294">AT95+AT94+AT93</f>
        <v>72410487.099999994</v>
      </c>
      <c r="AU96" s="241">
        <f t="shared" si="294"/>
        <v>4966.8323999999993</v>
      </c>
      <c r="AV96" s="241">
        <f t="shared" si="294"/>
        <v>4966.8323999999993</v>
      </c>
      <c r="AW96" s="241">
        <f t="shared" si="294"/>
        <v>5772.1497429488745</v>
      </c>
      <c r="AX96" s="241">
        <f t="shared" si="294"/>
        <v>14420.42900465504</v>
      </c>
      <c r="AY96" s="241">
        <f t="shared" si="294"/>
        <v>7899.7041275862794</v>
      </c>
      <c r="AZ96" s="241">
        <f>AZ95+AZ94+AZ93</f>
        <v>1369.5602999999999</v>
      </c>
      <c r="BA96" s="214"/>
      <c r="BB96" s="241">
        <f>BB95+BB94+BB93</f>
        <v>34428.675575190195</v>
      </c>
      <c r="BC96" s="241">
        <f>BC95+BC94+BC93</f>
        <v>34428.675575190195</v>
      </c>
      <c r="BD96" s="241">
        <f t="shared" si="200"/>
        <v>289.09261542897178</v>
      </c>
      <c r="BE96" s="457">
        <f>BC96</f>
        <v>34428.675575190195</v>
      </c>
      <c r="BF96" s="457">
        <f t="shared" si="292"/>
        <v>289.09261542897178</v>
      </c>
      <c r="BG96" s="248">
        <f>AV96/BE96*100</f>
        <v>14.426440509315356</v>
      </c>
      <c r="BH96" s="221"/>
      <c r="BI96" s="242">
        <f t="shared" si="258"/>
        <v>7.6139127500000008</v>
      </c>
      <c r="BJ96" s="241">
        <f>BJ93+BJ95+BJ94</f>
        <v>30455.651000000002</v>
      </c>
      <c r="BK96" s="242">
        <f>BK93+BK95+BK94</f>
        <v>0</v>
      </c>
      <c r="BL96" s="241">
        <f>BL93+BL95+BL94</f>
        <v>0</v>
      </c>
      <c r="BM96" s="197"/>
      <c r="BN96" s="221"/>
      <c r="BO96" s="241">
        <f t="shared" si="201"/>
        <v>119.09220000000001</v>
      </c>
      <c r="BP96" s="241">
        <f t="shared" si="202"/>
        <v>32.651541075537267</v>
      </c>
      <c r="BQ96" s="242">
        <f t="shared" si="214"/>
        <v>3.26</v>
      </c>
      <c r="BR96" s="241">
        <f t="shared" si="203"/>
        <v>0</v>
      </c>
      <c r="BS96" s="244">
        <f t="shared" si="204"/>
        <v>2.2560165250729368E-2</v>
      </c>
      <c r="BT96" s="242">
        <f t="shared" si="205"/>
        <v>2.4624247797155103</v>
      </c>
      <c r="BU96" s="241">
        <f t="shared" si="206"/>
        <v>14.426440509315356</v>
      </c>
      <c r="BV96" s="221"/>
      <c r="CI96" s="221"/>
      <c r="CJ96" s="303" t="str">
        <f t="shared" si="216"/>
        <v>intermediate complexity hydrodynamics</v>
      </c>
      <c r="CK96" s="304">
        <f t="shared" si="217"/>
        <v>2</v>
      </c>
      <c r="CL96" s="303" t="str">
        <f t="shared" si="218"/>
        <v>intermediate complexity water quality</v>
      </c>
      <c r="CM96" s="304">
        <f t="shared" si="219"/>
        <v>2</v>
      </c>
      <c r="CN96" s="303" t="str">
        <f t="shared" si="220"/>
        <v>shallow</v>
      </c>
      <c r="CO96" s="304">
        <f t="shared" si="221"/>
        <v>1</v>
      </c>
      <c r="CP96" s="303" t="str">
        <f t="shared" si="222"/>
        <v>mid-size</v>
      </c>
      <c r="CQ96" s="304">
        <f t="shared" si="223"/>
        <v>4</v>
      </c>
      <c r="CR96" s="303" t="str">
        <f t="shared" si="224"/>
        <v>moderate</v>
      </c>
      <c r="CS96" s="304">
        <f t="shared" si="225"/>
        <v>3</v>
      </c>
      <c r="CT96" s="303" t="str">
        <f t="shared" si="226"/>
        <v>none</v>
      </c>
      <c r="CU96" s="304">
        <f t="shared" si="227"/>
        <v>1</v>
      </c>
      <c r="CV96" s="304">
        <f t="shared" si="228"/>
        <v>114</v>
      </c>
      <c r="CW96" s="304" t="str">
        <f t="shared" si="229"/>
        <v>intermediate complexity hydrodynamics</v>
      </c>
      <c r="CX96" s="304">
        <f t="shared" si="271"/>
        <v>70</v>
      </c>
      <c r="CY96" s="304" t="str">
        <f t="shared" si="230"/>
        <v>intermediate complexity water quality</v>
      </c>
      <c r="CZ96" s="216" t="s">
        <v>402</v>
      </c>
      <c r="DA96" s="252" t="str">
        <f t="shared" si="276"/>
        <v>WASP</v>
      </c>
      <c r="DB96" s="251" t="str">
        <f t="shared" si="259"/>
        <v>intermediate complexity hydrodynamics; intermediate complexity water quality (WASP)</v>
      </c>
      <c r="DC96" s="227"/>
      <c r="DD96" s="475" t="str">
        <f t="shared" si="260"/>
        <v>Byram R. + Kirby P. + Playland L.</v>
      </c>
      <c r="DE96" s="475" t="str">
        <f t="shared" si="261"/>
        <v>82-83-84</v>
      </c>
      <c r="DF96" s="477">
        <f t="shared" si="231"/>
        <v>72.41</v>
      </c>
      <c r="DG96" s="478">
        <f t="shared" si="232"/>
        <v>1.19</v>
      </c>
      <c r="DH96" s="477">
        <f t="shared" si="233"/>
        <v>6.24</v>
      </c>
      <c r="DI96" s="477">
        <f t="shared" si="234"/>
        <v>191</v>
      </c>
      <c r="DJ96" s="477">
        <f t="shared" si="235"/>
        <v>33</v>
      </c>
      <c r="DK96" s="477">
        <f t="shared" si="236"/>
        <v>1.3</v>
      </c>
      <c r="DL96" s="477">
        <f t="shared" si="237"/>
        <v>1.3</v>
      </c>
      <c r="DM96" s="477">
        <f t="shared" si="238"/>
        <v>3.3</v>
      </c>
      <c r="DN96" s="477">
        <f t="shared" si="239"/>
        <v>30</v>
      </c>
      <c r="DO96" s="477">
        <f t="shared" si="240"/>
        <v>363258</v>
      </c>
      <c r="DP96" s="477">
        <f t="shared" si="241"/>
        <v>2767465</v>
      </c>
      <c r="DQ96" s="467">
        <f t="shared" si="242"/>
        <v>2.3199999999999998</v>
      </c>
      <c r="DR96" s="467">
        <f t="shared" si="243"/>
        <v>0</v>
      </c>
      <c r="DS96" s="467">
        <f t="shared" si="244"/>
        <v>124869</v>
      </c>
      <c r="DT96" s="467">
        <f t="shared" si="245"/>
        <v>2.9</v>
      </c>
      <c r="DU96" s="467">
        <f t="shared" si="246"/>
        <v>0.1</v>
      </c>
      <c r="DV96" s="467">
        <f t="shared" si="247"/>
        <v>7.61</v>
      </c>
      <c r="DW96" s="467">
        <f t="shared" si="248"/>
        <v>0</v>
      </c>
      <c r="DX96" s="467">
        <f t="shared" si="249"/>
        <v>84</v>
      </c>
      <c r="DY96" s="467">
        <f t="shared" si="250"/>
        <v>39</v>
      </c>
      <c r="DZ96" s="467">
        <f t="shared" si="251"/>
        <v>31</v>
      </c>
      <c r="EA96" s="467">
        <f t="shared" si="252"/>
        <v>34429</v>
      </c>
      <c r="EB96" s="467">
        <f t="shared" si="253"/>
        <v>289</v>
      </c>
      <c r="EC96" s="467">
        <f t="shared" si="254"/>
        <v>14</v>
      </c>
      <c r="ED96" s="467">
        <f t="shared" si="255"/>
        <v>2.256E-2</v>
      </c>
      <c r="EE96" s="467">
        <f t="shared" si="256"/>
        <v>2.46</v>
      </c>
      <c r="EF96" s="138">
        <f t="shared" si="262"/>
        <v>2.16</v>
      </c>
      <c r="EG96" s="138" t="str">
        <f t="shared" si="263"/>
        <v>possible if water clarity improves</v>
      </c>
      <c r="EH96" s="138">
        <f t="shared" si="264"/>
        <v>2.3199999999999998</v>
      </c>
      <c r="EI96" s="138">
        <f t="shared" si="265"/>
        <v>0.96</v>
      </c>
      <c r="EJ96" s="138">
        <f t="shared" si="266"/>
        <v>0.76</v>
      </c>
    </row>
  </sheetData>
  <mergeCells count="8">
    <mergeCell ref="BW19:BY19"/>
    <mergeCell ref="CB19:CD19"/>
    <mergeCell ref="CF12:CG12"/>
    <mergeCell ref="BW4:BY4"/>
    <mergeCell ref="CC4:CD4"/>
    <mergeCell ref="CC12:CD12"/>
    <mergeCell ref="BZ12:CA12"/>
    <mergeCell ref="BW12:BX12"/>
  </mergeCells>
  <conditionalFormatting sqref="F24:F29 F37:F62 F4:F9 U4:U9 P4:Q6 F87:F95 P64:Q70 U64:U70 F64:F70 P82:Q83 U82:U83 F82:F83 F85 U85:U95 P85:Q95 P31:Q62 U31:U62 F31:F35 P11:Q29 U11:U29 F11:F22 P30 F72:F80 U72:U80 P72:Q80 BE72:BF80 P8:Q9 P7">
    <cfRule type="cellIs" dxfId="51" priority="104" operator="lessThan">
      <formula>0</formula>
    </cfRule>
  </conditionalFormatting>
  <conditionalFormatting sqref="F86">
    <cfRule type="cellIs" dxfId="50" priority="100" operator="lessThan">
      <formula>0</formula>
    </cfRule>
  </conditionalFormatting>
  <conditionalFormatting sqref="BF4:BF6 BF31:BF62 BF64:BF70 BF82:BF83 BF85:BF95 BF11:BF15 BF17:BF29 BF8:BF9">
    <cfRule type="cellIs" dxfId="49" priority="92" operator="lessThan">
      <formula>0</formula>
    </cfRule>
  </conditionalFormatting>
  <conditionalFormatting sqref="BE4:BE6 BE64:BE70 BE82:BE83 BE85:BE95 BE31:BE62 BE11:BE15 BE17:BE29 BE8:BE9">
    <cfRule type="cellIs" dxfId="48" priority="91" operator="lessThan">
      <formula>0</formula>
    </cfRule>
  </conditionalFormatting>
  <conditionalFormatting sqref="F30 U30 Q30">
    <cfRule type="cellIs" dxfId="47" priority="53" operator="lessThan">
      <formula>0</formula>
    </cfRule>
  </conditionalFormatting>
  <conditionalFormatting sqref="BF30">
    <cfRule type="cellIs" dxfId="46" priority="49" operator="lessThan">
      <formula>0</formula>
    </cfRule>
  </conditionalFormatting>
  <conditionalFormatting sqref="BE30">
    <cfRule type="cellIs" dxfId="45" priority="48" operator="lessThan">
      <formula>0</formula>
    </cfRule>
  </conditionalFormatting>
  <conditionalFormatting sqref="F63 U63 P63:Q63">
    <cfRule type="cellIs" dxfId="44" priority="47" operator="lessThan">
      <formula>0</formula>
    </cfRule>
  </conditionalFormatting>
  <conditionalFormatting sqref="BF63">
    <cfRule type="cellIs" dxfId="43" priority="43" operator="lessThan">
      <formula>0</formula>
    </cfRule>
  </conditionalFormatting>
  <conditionalFormatting sqref="BE63">
    <cfRule type="cellIs" dxfId="42" priority="42" operator="lessThan">
      <formula>0</formula>
    </cfRule>
  </conditionalFormatting>
  <conditionalFormatting sqref="F71 U71 P71:Q71">
    <cfRule type="cellIs" dxfId="41" priority="41" operator="lessThan">
      <formula>0</formula>
    </cfRule>
  </conditionalFormatting>
  <conditionalFormatting sqref="BF71">
    <cfRule type="cellIs" dxfId="40" priority="37" operator="lessThan">
      <formula>0</formula>
    </cfRule>
  </conditionalFormatting>
  <conditionalFormatting sqref="BE71">
    <cfRule type="cellIs" dxfId="39" priority="36" operator="lessThan">
      <formula>0</formula>
    </cfRule>
  </conditionalFormatting>
  <conditionalFormatting sqref="F81 U81 P81:Q81">
    <cfRule type="cellIs" dxfId="38" priority="35" operator="lessThan">
      <formula>0</formula>
    </cfRule>
  </conditionalFormatting>
  <conditionalFormatting sqref="BF81">
    <cfRule type="cellIs" dxfId="37" priority="31" operator="lessThan">
      <formula>0</formula>
    </cfRule>
  </conditionalFormatting>
  <conditionalFormatting sqref="BE81">
    <cfRule type="cellIs" dxfId="36" priority="30" operator="lessThan">
      <formula>0</formula>
    </cfRule>
  </conditionalFormatting>
  <conditionalFormatting sqref="F84 U84 P84:Q84">
    <cfRule type="cellIs" dxfId="35" priority="29" operator="lessThan">
      <formula>0</formula>
    </cfRule>
  </conditionalFormatting>
  <conditionalFormatting sqref="BF84">
    <cfRule type="cellIs" dxfId="34" priority="25" operator="lessThan">
      <formula>0</formula>
    </cfRule>
  </conditionalFormatting>
  <conditionalFormatting sqref="BE84">
    <cfRule type="cellIs" dxfId="33" priority="24" operator="lessThan">
      <formula>0</formula>
    </cfRule>
  </conditionalFormatting>
  <conditionalFormatting sqref="BE96">
    <cfRule type="cellIs" dxfId="32" priority="18" operator="lessThan">
      <formula>0</formula>
    </cfRule>
  </conditionalFormatting>
  <conditionalFormatting sqref="F96 U96 P96:Q96">
    <cfRule type="cellIs" dxfId="31" priority="23" operator="lessThan">
      <formula>0</formula>
    </cfRule>
  </conditionalFormatting>
  <conditionalFormatting sqref="BF96">
    <cfRule type="cellIs" dxfId="30" priority="19" operator="lessThan">
      <formula>0</formula>
    </cfRule>
  </conditionalFormatting>
  <conditionalFormatting sqref="F10 U10 P10:Q10">
    <cfRule type="cellIs" dxfId="29" priority="16" operator="lessThan">
      <formula>0</formula>
    </cfRule>
  </conditionalFormatting>
  <conditionalFormatting sqref="BF10">
    <cfRule type="cellIs" dxfId="28" priority="12" operator="lessThan">
      <formula>0</formula>
    </cfRule>
  </conditionalFormatting>
  <conditionalFormatting sqref="BE10">
    <cfRule type="cellIs" dxfId="27" priority="11" operator="lessThan">
      <formula>0</formula>
    </cfRule>
  </conditionalFormatting>
  <conditionalFormatting sqref="BE16">
    <cfRule type="cellIs" dxfId="26" priority="7" operator="lessThan">
      <formula>0</formula>
    </cfRule>
  </conditionalFormatting>
  <conditionalFormatting sqref="BF16">
    <cfRule type="cellIs" dxfId="25" priority="8" operator="lessThan">
      <formula>0</formula>
    </cfRule>
  </conditionalFormatting>
  <conditionalFormatting sqref="BA3">
    <cfRule type="cellIs" dxfId="24" priority="4" operator="lessThan">
      <formula>0</formula>
    </cfRule>
  </conditionalFormatting>
  <conditionalFormatting sqref="Q7">
    <cfRule type="cellIs" dxfId="23" priority="3" operator="lessThan">
      <formula>0</formula>
    </cfRule>
  </conditionalFormatting>
  <conditionalFormatting sqref="BF7">
    <cfRule type="cellIs" dxfId="22" priority="2" operator="lessThan">
      <formula>0</formula>
    </cfRule>
  </conditionalFormatting>
  <conditionalFormatting sqref="BE7">
    <cfRule type="cellIs" dxfId="21" priority="1" operator="lessThan">
      <formula>0</formula>
    </cfRule>
  </conditionalFormatting>
  <pageMargins left="0.7" right="0.7" top="0.75" bottom="0.75" header="0.3" footer="0.3"/>
  <pageSetup orientation="portrait" horizontalDpi="1200" verticalDpi="1200" r:id="rId1"/>
  <legacyDrawing r:id="rId2"/>
  <extLst>
    <ext xmlns:x14="http://schemas.microsoft.com/office/spreadsheetml/2009/9/main" uri="{05C60535-1F16-4fd2-B633-F4F36F0B64E0}">
      <x14:sparklineGroups xmlns:xm="http://schemas.microsoft.com/office/excel/2006/main">
        <x14:sparklineGroup manualMax="0" manualMin="0" type="column" displayEmptyCellsAs="gap" high="1" xr2:uid="{00000000-0003-0000-0000-000001000000}">
          <x14:colorSeries rgb="FF376092"/>
          <x14:colorNegative rgb="FFD00000"/>
          <x14:colorAxis rgb="FF000000"/>
          <x14:colorMarkers rgb="FFD00000"/>
          <x14:colorFirst rgb="FFD00000"/>
          <x14:colorLast rgb="FFD00000"/>
          <x14:colorHigh rgb="FFFF0000"/>
          <x14:colorLow rgb="FFD00000"/>
          <x14:sparklines>
            <x14:sparkline>
              <xm:f>SUMMARY!AV5:AZ5</xm:f>
              <xm:sqref>BA5</xm:sqref>
            </x14:sparkline>
            <x14:sparkline>
              <xm:f>SUMMARY!AV6:AZ6</xm:f>
              <xm:sqref>BA6</xm:sqref>
            </x14:sparkline>
            <x14:sparkline>
              <xm:f>SUMMARY!AV7:AZ7</xm:f>
              <xm:sqref>BA7</xm:sqref>
            </x14:sparkline>
            <x14:sparkline>
              <xm:f>SUMMARY!AV8:AZ8</xm:f>
              <xm:sqref>BA8</xm:sqref>
            </x14:sparkline>
            <x14:sparkline>
              <xm:f>SUMMARY!AV9:AZ9</xm:f>
              <xm:sqref>BA9</xm:sqref>
            </x14:sparkline>
            <x14:sparkline>
              <xm:f>SUMMARY!AV10:AZ10</xm:f>
              <xm:sqref>BA10</xm:sqref>
            </x14:sparkline>
            <x14:sparkline>
              <xm:f>SUMMARY!AV11:AZ11</xm:f>
              <xm:sqref>BA11</xm:sqref>
            </x14:sparkline>
            <x14:sparkline>
              <xm:f>SUMMARY!AV12:AZ12</xm:f>
              <xm:sqref>BA12</xm:sqref>
            </x14:sparkline>
            <x14:sparkline>
              <xm:f>SUMMARY!AV13:AZ13</xm:f>
              <xm:sqref>BA13</xm:sqref>
            </x14:sparkline>
            <x14:sparkline>
              <xm:f>SUMMARY!AV14:AZ14</xm:f>
              <xm:sqref>BA14</xm:sqref>
            </x14:sparkline>
            <x14:sparkline>
              <xm:f>SUMMARY!AV15:AZ15</xm:f>
              <xm:sqref>BA15</xm:sqref>
            </x14:sparkline>
            <x14:sparkline>
              <xm:f>SUMMARY!AV16:AZ16</xm:f>
              <xm:sqref>BA16</xm:sqref>
            </x14:sparkline>
            <x14:sparkline>
              <xm:f>SUMMARY!AV17:AZ17</xm:f>
              <xm:sqref>BA17</xm:sqref>
            </x14:sparkline>
            <x14:sparkline>
              <xm:f>SUMMARY!AV18:AZ18</xm:f>
              <xm:sqref>BA18</xm:sqref>
            </x14:sparkline>
            <x14:sparkline>
              <xm:f>SUMMARY!AV19:AZ19</xm:f>
              <xm:sqref>BA19</xm:sqref>
            </x14:sparkline>
            <x14:sparkline>
              <xm:f>SUMMARY!AV20:AZ20</xm:f>
              <xm:sqref>BA20</xm:sqref>
            </x14:sparkline>
            <x14:sparkline>
              <xm:f>SUMMARY!AV21:AZ21</xm:f>
              <xm:sqref>BA21</xm:sqref>
            </x14:sparkline>
            <x14:sparkline>
              <xm:f>SUMMARY!AV22:AZ22</xm:f>
              <xm:sqref>BA22</xm:sqref>
            </x14:sparkline>
            <x14:sparkline>
              <xm:f>SUMMARY!AV23:AZ23</xm:f>
              <xm:sqref>BA23</xm:sqref>
            </x14:sparkline>
            <x14:sparkline>
              <xm:f>SUMMARY!AV24:AZ24</xm:f>
              <xm:sqref>BA24</xm:sqref>
            </x14:sparkline>
            <x14:sparkline>
              <xm:f>SUMMARY!AV25:AZ25</xm:f>
              <xm:sqref>BA25</xm:sqref>
            </x14:sparkline>
            <x14:sparkline>
              <xm:f>SUMMARY!AV26:AZ26</xm:f>
              <xm:sqref>BA26</xm:sqref>
            </x14:sparkline>
            <x14:sparkline>
              <xm:f>SUMMARY!AV27:AZ27</xm:f>
              <xm:sqref>BA27</xm:sqref>
            </x14:sparkline>
            <x14:sparkline>
              <xm:f>SUMMARY!AV28:AZ28</xm:f>
              <xm:sqref>BA28</xm:sqref>
            </x14:sparkline>
            <x14:sparkline>
              <xm:f>SUMMARY!AV29:AZ29</xm:f>
              <xm:sqref>BA29</xm:sqref>
            </x14:sparkline>
            <x14:sparkline>
              <xm:f>SUMMARY!AV30:AZ30</xm:f>
              <xm:sqref>BA30</xm:sqref>
            </x14:sparkline>
            <x14:sparkline>
              <xm:f>SUMMARY!AV31:AZ31</xm:f>
              <xm:sqref>BA31</xm:sqref>
            </x14:sparkline>
            <x14:sparkline>
              <xm:f>SUMMARY!AV32:AZ32</xm:f>
              <xm:sqref>BA32</xm:sqref>
            </x14:sparkline>
            <x14:sparkline>
              <xm:f>SUMMARY!AV33:AZ33</xm:f>
              <xm:sqref>BA33</xm:sqref>
            </x14:sparkline>
            <x14:sparkline>
              <xm:f>SUMMARY!AV34:AZ34</xm:f>
              <xm:sqref>BA34</xm:sqref>
            </x14:sparkline>
            <x14:sparkline>
              <xm:f>SUMMARY!AV35:AZ35</xm:f>
              <xm:sqref>BA35</xm:sqref>
            </x14:sparkline>
            <x14:sparkline>
              <xm:f>SUMMARY!AV36:AZ36</xm:f>
              <xm:sqref>BA36</xm:sqref>
            </x14:sparkline>
            <x14:sparkline>
              <xm:f>SUMMARY!AV37:AZ37</xm:f>
              <xm:sqref>BA37</xm:sqref>
            </x14:sparkline>
            <x14:sparkline>
              <xm:f>SUMMARY!AV38:AZ38</xm:f>
              <xm:sqref>BA38</xm:sqref>
            </x14:sparkline>
            <x14:sparkline>
              <xm:f>SUMMARY!AV39:AZ39</xm:f>
              <xm:sqref>BA39</xm:sqref>
            </x14:sparkline>
            <x14:sparkline>
              <xm:f>SUMMARY!AV40:AZ40</xm:f>
              <xm:sqref>BA40</xm:sqref>
            </x14:sparkline>
            <x14:sparkline>
              <xm:f>SUMMARY!AV41:AZ41</xm:f>
              <xm:sqref>BA41</xm:sqref>
            </x14:sparkline>
            <x14:sparkline>
              <xm:f>SUMMARY!AV42:AZ42</xm:f>
              <xm:sqref>BA42</xm:sqref>
            </x14:sparkline>
            <x14:sparkline>
              <xm:f>SUMMARY!AV43:AZ43</xm:f>
              <xm:sqref>BA43</xm:sqref>
            </x14:sparkline>
            <x14:sparkline>
              <xm:f>SUMMARY!AV44:AZ44</xm:f>
              <xm:sqref>BA44</xm:sqref>
            </x14:sparkline>
            <x14:sparkline>
              <xm:f>SUMMARY!AV45:AZ45</xm:f>
              <xm:sqref>BA45</xm:sqref>
            </x14:sparkline>
            <x14:sparkline>
              <xm:f>SUMMARY!AV46:AZ46</xm:f>
              <xm:sqref>BA46</xm:sqref>
            </x14:sparkline>
            <x14:sparkline>
              <xm:f>SUMMARY!AV47:AZ47</xm:f>
              <xm:sqref>BA47</xm:sqref>
            </x14:sparkline>
            <x14:sparkline>
              <xm:f>SUMMARY!AV48:AZ48</xm:f>
              <xm:sqref>BA48</xm:sqref>
            </x14:sparkline>
            <x14:sparkline>
              <xm:f>SUMMARY!AV49:AZ49</xm:f>
              <xm:sqref>BA49</xm:sqref>
            </x14:sparkline>
            <x14:sparkline>
              <xm:f>SUMMARY!AV50:AZ50</xm:f>
              <xm:sqref>BA50</xm:sqref>
            </x14:sparkline>
            <x14:sparkline>
              <xm:f>SUMMARY!AV51:AZ51</xm:f>
              <xm:sqref>BA51</xm:sqref>
            </x14:sparkline>
            <x14:sparkline>
              <xm:f>SUMMARY!AV52:AZ52</xm:f>
              <xm:sqref>BA52</xm:sqref>
            </x14:sparkline>
            <x14:sparkline>
              <xm:f>SUMMARY!AV53:AZ53</xm:f>
              <xm:sqref>BA53</xm:sqref>
            </x14:sparkline>
            <x14:sparkline>
              <xm:f>SUMMARY!AV54:AZ54</xm:f>
              <xm:sqref>BA54</xm:sqref>
            </x14:sparkline>
            <x14:sparkline>
              <xm:f>SUMMARY!AV55:AZ55</xm:f>
              <xm:sqref>BA55</xm:sqref>
            </x14:sparkline>
            <x14:sparkline>
              <xm:f>SUMMARY!AV56:AZ56</xm:f>
              <xm:sqref>BA56</xm:sqref>
            </x14:sparkline>
            <x14:sparkline>
              <xm:f>SUMMARY!AV57:AZ57</xm:f>
              <xm:sqref>BA57</xm:sqref>
            </x14:sparkline>
            <x14:sparkline>
              <xm:f>SUMMARY!AV58:AZ58</xm:f>
              <xm:sqref>BA58</xm:sqref>
            </x14:sparkline>
            <x14:sparkline>
              <xm:f>SUMMARY!AV59:AZ59</xm:f>
              <xm:sqref>BA59</xm:sqref>
            </x14:sparkline>
            <x14:sparkline>
              <xm:f>SUMMARY!AV60:AZ60</xm:f>
              <xm:sqref>BA60</xm:sqref>
            </x14:sparkline>
            <x14:sparkline>
              <xm:f>SUMMARY!AV61:AZ61</xm:f>
              <xm:sqref>BA61</xm:sqref>
            </x14:sparkline>
            <x14:sparkline>
              <xm:f>SUMMARY!AV62:AZ62</xm:f>
              <xm:sqref>BA62</xm:sqref>
            </x14:sparkline>
            <x14:sparkline>
              <xm:f>SUMMARY!AV63:AZ63</xm:f>
              <xm:sqref>BA63</xm:sqref>
            </x14:sparkline>
            <x14:sparkline>
              <xm:f>SUMMARY!AV64:AZ64</xm:f>
              <xm:sqref>BA64</xm:sqref>
            </x14:sparkline>
            <x14:sparkline>
              <xm:f>SUMMARY!AV65:AZ65</xm:f>
              <xm:sqref>BA65</xm:sqref>
            </x14:sparkline>
            <x14:sparkline>
              <xm:f>SUMMARY!AV66:AZ66</xm:f>
              <xm:sqref>BA66</xm:sqref>
            </x14:sparkline>
            <x14:sparkline>
              <xm:f>SUMMARY!AV67:AZ67</xm:f>
              <xm:sqref>BA67</xm:sqref>
            </x14:sparkline>
            <x14:sparkline>
              <xm:f>SUMMARY!AV68:AZ68</xm:f>
              <xm:sqref>BA68</xm:sqref>
            </x14:sparkline>
            <x14:sparkline>
              <xm:f>SUMMARY!AV69:AZ69</xm:f>
              <xm:sqref>BA69</xm:sqref>
            </x14:sparkline>
            <x14:sparkline>
              <xm:f>SUMMARY!AV70:AZ70</xm:f>
              <xm:sqref>BA70</xm:sqref>
            </x14:sparkline>
            <x14:sparkline>
              <xm:f>SUMMARY!AV71:AZ71</xm:f>
              <xm:sqref>BA71</xm:sqref>
            </x14:sparkline>
            <x14:sparkline>
              <xm:f>SUMMARY!AV72:AZ72</xm:f>
              <xm:sqref>BA72</xm:sqref>
            </x14:sparkline>
            <x14:sparkline>
              <xm:f>SUMMARY!AV73:AZ73</xm:f>
              <xm:sqref>BA73</xm:sqref>
            </x14:sparkline>
            <x14:sparkline>
              <xm:f>SUMMARY!AV74:AZ74</xm:f>
              <xm:sqref>BA74</xm:sqref>
            </x14:sparkline>
            <x14:sparkline>
              <xm:f>SUMMARY!AV75:AZ75</xm:f>
              <xm:sqref>BA75</xm:sqref>
            </x14:sparkline>
            <x14:sparkline>
              <xm:f>SUMMARY!AV76:AZ76</xm:f>
              <xm:sqref>BA76</xm:sqref>
            </x14:sparkline>
            <x14:sparkline>
              <xm:f>SUMMARY!AV77:AZ77</xm:f>
              <xm:sqref>BA77</xm:sqref>
            </x14:sparkline>
            <x14:sparkline>
              <xm:f>SUMMARY!AV78:AZ78</xm:f>
              <xm:sqref>BA78</xm:sqref>
            </x14:sparkline>
            <x14:sparkline>
              <xm:f>SUMMARY!AV79:AZ79</xm:f>
              <xm:sqref>BA79</xm:sqref>
            </x14:sparkline>
            <x14:sparkline>
              <xm:f>SUMMARY!AV80:AZ80</xm:f>
              <xm:sqref>BA80</xm:sqref>
            </x14:sparkline>
            <x14:sparkline>
              <xm:f>SUMMARY!AV81:AZ81</xm:f>
              <xm:sqref>BA81</xm:sqref>
            </x14:sparkline>
            <x14:sparkline>
              <xm:f>SUMMARY!AV82:AZ82</xm:f>
              <xm:sqref>BA82</xm:sqref>
            </x14:sparkline>
            <x14:sparkline>
              <xm:f>SUMMARY!AV83:AZ83</xm:f>
              <xm:sqref>BA83</xm:sqref>
            </x14:sparkline>
            <x14:sparkline>
              <xm:f>SUMMARY!AV84:AZ84</xm:f>
              <xm:sqref>BA84</xm:sqref>
            </x14:sparkline>
            <x14:sparkline>
              <xm:f>SUMMARY!AV85:AZ85</xm:f>
              <xm:sqref>BA85</xm:sqref>
            </x14:sparkline>
            <x14:sparkline>
              <xm:f>SUMMARY!AV86:AZ86</xm:f>
              <xm:sqref>BA86</xm:sqref>
            </x14:sparkline>
            <x14:sparkline>
              <xm:f>SUMMARY!AV87:AZ87</xm:f>
              <xm:sqref>BA87</xm:sqref>
            </x14:sparkline>
            <x14:sparkline>
              <xm:f>SUMMARY!AV88:AZ88</xm:f>
              <xm:sqref>BA88</xm:sqref>
            </x14:sparkline>
            <x14:sparkline>
              <xm:f>SUMMARY!AV89:AZ89</xm:f>
              <xm:sqref>BA89</xm:sqref>
            </x14:sparkline>
            <x14:sparkline>
              <xm:f>SUMMARY!AV90:AZ90</xm:f>
              <xm:sqref>BA90</xm:sqref>
            </x14:sparkline>
            <x14:sparkline>
              <xm:f>SUMMARY!AV91:AZ91</xm:f>
              <xm:sqref>BA91</xm:sqref>
            </x14:sparkline>
            <x14:sparkline>
              <xm:f>SUMMARY!AV92:AZ92</xm:f>
              <xm:sqref>BA92</xm:sqref>
            </x14:sparkline>
            <x14:sparkline>
              <xm:f>SUMMARY!AV93:AZ93</xm:f>
              <xm:sqref>BA93</xm:sqref>
            </x14:sparkline>
            <x14:sparkline>
              <xm:f>SUMMARY!AV94:AZ94</xm:f>
              <xm:sqref>BA94</xm:sqref>
            </x14:sparkline>
            <x14:sparkline>
              <xm:f>SUMMARY!AV95:AZ95</xm:f>
              <xm:sqref>BA95</xm:sqref>
            </x14:sparkline>
            <x14:sparkline>
              <xm:f>SUMMARY!AV96:AZ96</xm:f>
              <xm:sqref>BA96</xm:sqref>
            </x14:sparkline>
          </x14:sparklines>
        </x14:sparklineGroup>
        <x14:sparklineGroup manualMax="0" manualMin="0" type="column" displayEmptyCellsAs="gap" high="1" xr2:uid="{00000000-0003-0000-0000-000000000000}">
          <x14:colorSeries rgb="FF376092"/>
          <x14:colorNegative rgb="FFD00000"/>
          <x14:colorAxis rgb="FF000000"/>
          <x14:colorMarkers rgb="FFD00000"/>
          <x14:colorFirst rgb="FFD00000"/>
          <x14:colorLast rgb="FFD00000"/>
          <x14:colorHigh rgb="FFFF0000"/>
          <x14:colorLow rgb="FFD00000"/>
          <x14:sparklines>
            <x14:sparkline>
              <xm:f>SUMMARY!AV4:AZ4</xm:f>
              <xm:sqref>BA4</xm:sqref>
            </x14:sparkline>
          </x14:sparklines>
        </x14:sparklineGroup>
      </x14:sparklineGroups>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O116"/>
  <sheetViews>
    <sheetView zoomScale="85" zoomScaleNormal="85" workbookViewId="0"/>
  </sheetViews>
  <sheetFormatPr defaultColWidth="8.7265625" defaultRowHeight="14.5" x14ac:dyDescent="0.35"/>
  <cols>
    <col min="1" max="1" width="34.1796875" style="5" bestFit="1" customWidth="1"/>
    <col min="2" max="2" width="3.81640625" style="5" bestFit="1" customWidth="1"/>
    <col min="3" max="3" width="11.36328125" style="7" customWidth="1"/>
    <col min="4" max="4" width="15" style="6" customWidth="1"/>
    <col min="5" max="5" width="13.7265625" style="5" customWidth="1"/>
    <col min="6" max="6" width="15" style="6" customWidth="1"/>
    <col min="7" max="7" width="15" style="128" customWidth="1"/>
    <col min="8" max="8" width="12.7265625" customWidth="1"/>
    <col min="9" max="9" width="12.26953125" style="136" customWidth="1"/>
    <col min="10" max="10" width="13.7265625" style="2" customWidth="1"/>
    <col min="11" max="13" width="12.08984375" style="5" customWidth="1"/>
    <col min="14" max="14" width="10" style="5" customWidth="1"/>
    <col min="15" max="16" width="10.7265625" style="5" customWidth="1"/>
    <col min="17" max="16384" width="8.7265625" style="5"/>
  </cols>
  <sheetData>
    <row r="1" spans="1:41" s="1" customFormat="1" ht="72.5" x14ac:dyDescent="0.35">
      <c r="A1" s="130" t="s">
        <v>116</v>
      </c>
      <c r="B1" s="1" t="s">
        <v>0</v>
      </c>
      <c r="C1" s="4" t="s">
        <v>379</v>
      </c>
      <c r="D1" s="16" t="s">
        <v>380</v>
      </c>
      <c r="E1" s="120" t="s">
        <v>381</v>
      </c>
      <c r="F1" s="16" t="s">
        <v>392</v>
      </c>
      <c r="G1" s="127" t="s">
        <v>393</v>
      </c>
      <c r="H1" s="16" t="s">
        <v>391</v>
      </c>
      <c r="I1" s="135" t="s">
        <v>394</v>
      </c>
      <c r="J1" s="1" t="s">
        <v>374</v>
      </c>
      <c r="K1" s="1" t="s">
        <v>382</v>
      </c>
      <c r="L1" s="1" t="s">
        <v>390</v>
      </c>
      <c r="N1" s="1" t="s">
        <v>383</v>
      </c>
      <c r="O1" s="1" t="s">
        <v>384</v>
      </c>
      <c r="P1" s="1" t="s">
        <v>385</v>
      </c>
      <c r="Q1" s="1" t="s">
        <v>386</v>
      </c>
      <c r="S1" s="1">
        <v>0.2</v>
      </c>
      <c r="T1" s="1">
        <v>0.3</v>
      </c>
      <c r="U1" s="1">
        <v>0.4</v>
      </c>
      <c r="V1" s="1">
        <v>0.5</v>
      </c>
      <c r="W1" s="1">
        <v>0.6</v>
      </c>
      <c r="X1" s="1">
        <v>0.7</v>
      </c>
      <c r="Y1" s="1">
        <v>0.8</v>
      </c>
      <c r="Z1" s="1">
        <v>0.9</v>
      </c>
      <c r="AA1" s="1">
        <v>1</v>
      </c>
      <c r="AB1" s="1">
        <v>1.1000000000000001</v>
      </c>
      <c r="AC1" s="1">
        <v>1.2</v>
      </c>
      <c r="AD1" s="1">
        <v>1.3</v>
      </c>
      <c r="AE1" s="1">
        <v>1.4</v>
      </c>
      <c r="AF1" s="1">
        <v>1.5</v>
      </c>
      <c r="AG1" s="1">
        <v>1.6</v>
      </c>
      <c r="AH1" s="1">
        <v>1.7</v>
      </c>
      <c r="AI1" s="1">
        <v>1.8</v>
      </c>
      <c r="AJ1" s="1">
        <v>1.9</v>
      </c>
      <c r="AK1" s="1">
        <v>2</v>
      </c>
      <c r="AL1" s="1">
        <v>2.1</v>
      </c>
      <c r="AM1" s="1">
        <v>2.2000000000000002</v>
      </c>
      <c r="AN1" s="1">
        <v>2.2999999999999998</v>
      </c>
      <c r="AO1" s="1">
        <v>2.4</v>
      </c>
    </row>
    <row r="2" spans="1:41" x14ac:dyDescent="0.35">
      <c r="A2" s="5" t="s">
        <v>1</v>
      </c>
      <c r="B2" s="5">
        <v>1</v>
      </c>
      <c r="C2" s="7">
        <v>2638462</v>
      </c>
      <c r="D2" s="6">
        <v>0.45159998536099999</v>
      </c>
      <c r="E2" s="6">
        <f t="shared" ref="E2:E17" si="0">D2*2</f>
        <v>0.90319997072199998</v>
      </c>
      <c r="F2" s="6">
        <v>0.1</v>
      </c>
      <c r="G2" s="128">
        <f t="shared" ref="G2:G33" si="1">D2+F2</f>
        <v>0.55159998536099997</v>
      </c>
      <c r="H2" s="6">
        <v>0.8</v>
      </c>
      <c r="I2" s="128">
        <f>D2+H2</f>
        <v>1.251599985361</v>
      </c>
      <c r="J2" s="7">
        <v>2638462</v>
      </c>
      <c r="K2" s="7">
        <f t="shared" ref="K2:K12" si="2">C2-J2</f>
        <v>0</v>
      </c>
      <c r="L2" s="133">
        <f>IF(J2=C2,1,IF(J2=0,0,J2/C2))</f>
        <v>1</v>
      </c>
      <c r="M2" s="133">
        <v>1</v>
      </c>
      <c r="N2" s="6">
        <f t="shared" ref="N2:N33" si="3">I2-F2</f>
        <v>1.1515999853609999</v>
      </c>
      <c r="O2" s="6">
        <f t="shared" ref="O2:O33" si="4">ROUND(I2-F2,1)</f>
        <v>1.2</v>
      </c>
      <c r="P2" s="7">
        <f t="shared" ref="P2:P33" si="5">K2/((O2/0.1)-1)</f>
        <v>0</v>
      </c>
      <c r="Q2" s="131" t="str">
        <f t="shared" ref="Q2:Q33" si="6">IF(SUM(S2:AO2)=K2,"","check")</f>
        <v/>
      </c>
      <c r="R2" s="7"/>
      <c r="S2" s="7">
        <f t="shared" ref="S2:AB11" si="7">IF($P2=0,0,IF(S$1&lt;=$O2,$P2,0))</f>
        <v>0</v>
      </c>
      <c r="T2" s="7">
        <f t="shared" si="7"/>
        <v>0</v>
      </c>
      <c r="U2" s="7">
        <f t="shared" si="7"/>
        <v>0</v>
      </c>
      <c r="V2" s="7">
        <f t="shared" si="7"/>
        <v>0</v>
      </c>
      <c r="W2" s="7">
        <f t="shared" si="7"/>
        <v>0</v>
      </c>
      <c r="X2" s="7">
        <f t="shared" si="7"/>
        <v>0</v>
      </c>
      <c r="Y2" s="7">
        <f t="shared" si="7"/>
        <v>0</v>
      </c>
      <c r="Z2" s="7">
        <f t="shared" si="7"/>
        <v>0</v>
      </c>
      <c r="AA2" s="7">
        <f t="shared" si="7"/>
        <v>0</v>
      </c>
      <c r="AB2" s="7">
        <f t="shared" si="7"/>
        <v>0</v>
      </c>
      <c r="AC2" s="7">
        <f t="shared" ref="AC2:AO11" si="8">IF($P2=0,0,IF(AC$1&lt;=$O2,$P2,0))</f>
        <v>0</v>
      </c>
      <c r="AD2" s="7">
        <f t="shared" si="8"/>
        <v>0</v>
      </c>
      <c r="AE2" s="7">
        <f t="shared" si="8"/>
        <v>0</v>
      </c>
      <c r="AF2" s="7">
        <f t="shared" si="8"/>
        <v>0</v>
      </c>
      <c r="AG2" s="7">
        <f t="shared" si="8"/>
        <v>0</v>
      </c>
      <c r="AH2" s="7">
        <f t="shared" si="8"/>
        <v>0</v>
      </c>
      <c r="AI2" s="7">
        <f t="shared" si="8"/>
        <v>0</v>
      </c>
      <c r="AJ2" s="7">
        <f t="shared" si="8"/>
        <v>0</v>
      </c>
      <c r="AK2" s="7">
        <f t="shared" si="8"/>
        <v>0</v>
      </c>
      <c r="AL2" s="7">
        <f t="shared" si="8"/>
        <v>0</v>
      </c>
      <c r="AM2" s="7">
        <f t="shared" si="8"/>
        <v>0</v>
      </c>
      <c r="AN2" s="7">
        <f t="shared" si="8"/>
        <v>0</v>
      </c>
      <c r="AO2" s="7">
        <f t="shared" si="8"/>
        <v>0</v>
      </c>
    </row>
    <row r="3" spans="1:41" x14ac:dyDescent="0.35">
      <c r="A3" s="5" t="s">
        <v>2</v>
      </c>
      <c r="B3" s="5">
        <v>2</v>
      </c>
      <c r="C3" s="7">
        <v>3308111</v>
      </c>
      <c r="D3" s="8">
        <v>0.444499999285</v>
      </c>
      <c r="E3" s="6">
        <f t="shared" si="0"/>
        <v>0.88899999857000001</v>
      </c>
      <c r="F3" s="132">
        <f>F2</f>
        <v>0.1</v>
      </c>
      <c r="G3" s="128">
        <f t="shared" si="1"/>
        <v>0.54449999928500004</v>
      </c>
      <c r="H3" s="132">
        <f>H2</f>
        <v>0.8</v>
      </c>
      <c r="I3" s="128">
        <f t="shared" ref="I3:I66" si="9">D3+H3</f>
        <v>1.2444999992850001</v>
      </c>
      <c r="J3" s="7">
        <v>3308111</v>
      </c>
      <c r="K3" s="7">
        <f t="shared" si="2"/>
        <v>0</v>
      </c>
      <c r="L3" s="133">
        <f t="shared" ref="L3:L66" si="10">IF(J3=C3,1,IF(J3=0,0,J3/C3))</f>
        <v>1</v>
      </c>
      <c r="M3" s="7">
        <f>COUNTIF($L$2:$L$83,M2)</f>
        <v>22</v>
      </c>
      <c r="N3" s="6">
        <f t="shared" si="3"/>
        <v>1.144499999285</v>
      </c>
      <c r="O3" s="6">
        <f t="shared" si="4"/>
        <v>1.1000000000000001</v>
      </c>
      <c r="P3" s="7">
        <f t="shared" si="5"/>
        <v>0</v>
      </c>
      <c r="Q3" s="131" t="str">
        <f t="shared" si="6"/>
        <v/>
      </c>
      <c r="R3" s="7"/>
      <c r="S3" s="7">
        <f t="shared" si="7"/>
        <v>0</v>
      </c>
      <c r="T3" s="7">
        <f t="shared" si="7"/>
        <v>0</v>
      </c>
      <c r="U3" s="7">
        <f t="shared" si="7"/>
        <v>0</v>
      </c>
      <c r="V3" s="7">
        <f t="shared" si="7"/>
        <v>0</v>
      </c>
      <c r="W3" s="7">
        <f t="shared" si="7"/>
        <v>0</v>
      </c>
      <c r="X3" s="7">
        <f t="shared" si="7"/>
        <v>0</v>
      </c>
      <c r="Y3" s="7">
        <f t="shared" si="7"/>
        <v>0</v>
      </c>
      <c r="Z3" s="7">
        <f t="shared" si="7"/>
        <v>0</v>
      </c>
      <c r="AA3" s="7">
        <f t="shared" si="7"/>
        <v>0</v>
      </c>
      <c r="AB3" s="7">
        <f t="shared" si="7"/>
        <v>0</v>
      </c>
      <c r="AC3" s="7">
        <f t="shared" si="8"/>
        <v>0</v>
      </c>
      <c r="AD3" s="7">
        <f t="shared" si="8"/>
        <v>0</v>
      </c>
      <c r="AE3" s="7">
        <f t="shared" si="8"/>
        <v>0</v>
      </c>
      <c r="AF3" s="7">
        <f t="shared" si="8"/>
        <v>0</v>
      </c>
      <c r="AG3" s="7">
        <f t="shared" si="8"/>
        <v>0</v>
      </c>
      <c r="AH3" s="7">
        <f t="shared" si="8"/>
        <v>0</v>
      </c>
      <c r="AI3" s="7">
        <f t="shared" si="8"/>
        <v>0</v>
      </c>
      <c r="AJ3" s="7">
        <f t="shared" si="8"/>
        <v>0</v>
      </c>
      <c r="AK3" s="7">
        <f t="shared" si="8"/>
        <v>0</v>
      </c>
      <c r="AL3" s="7">
        <f t="shared" si="8"/>
        <v>0</v>
      </c>
      <c r="AM3" s="7">
        <f t="shared" si="8"/>
        <v>0</v>
      </c>
      <c r="AN3" s="7">
        <f t="shared" si="8"/>
        <v>0</v>
      </c>
      <c r="AO3" s="7">
        <f t="shared" si="8"/>
        <v>0</v>
      </c>
    </row>
    <row r="4" spans="1:41" x14ac:dyDescent="0.35">
      <c r="A4" s="5" t="s">
        <v>3</v>
      </c>
      <c r="B4" s="5">
        <v>3</v>
      </c>
      <c r="C4" s="7">
        <v>818774</v>
      </c>
      <c r="D4" s="13">
        <v>0.44549998640999999</v>
      </c>
      <c r="E4" s="6">
        <f t="shared" si="0"/>
        <v>0.89099997281999999</v>
      </c>
      <c r="F4" s="132">
        <f t="shared" ref="F4:H67" si="11">F3</f>
        <v>0.1</v>
      </c>
      <c r="G4" s="128">
        <f t="shared" si="1"/>
        <v>0.54549998640999997</v>
      </c>
      <c r="H4" s="132">
        <f t="shared" si="11"/>
        <v>0.8</v>
      </c>
      <c r="I4" s="128">
        <f t="shared" si="9"/>
        <v>1.24549998641</v>
      </c>
      <c r="J4" s="7">
        <v>818774</v>
      </c>
      <c r="K4" s="7">
        <f t="shared" si="2"/>
        <v>0</v>
      </c>
      <c r="L4" s="133">
        <f t="shared" si="10"/>
        <v>1</v>
      </c>
      <c r="M4" s="7"/>
      <c r="N4" s="6">
        <f t="shared" si="3"/>
        <v>1.1454999864099999</v>
      </c>
      <c r="O4" s="6">
        <f t="shared" si="4"/>
        <v>1.1000000000000001</v>
      </c>
      <c r="P4" s="7">
        <f t="shared" si="5"/>
        <v>0</v>
      </c>
      <c r="Q4" s="131" t="str">
        <f t="shared" si="6"/>
        <v/>
      </c>
      <c r="R4" s="7"/>
      <c r="S4" s="7">
        <f t="shared" si="7"/>
        <v>0</v>
      </c>
      <c r="T4" s="7">
        <f t="shared" si="7"/>
        <v>0</v>
      </c>
      <c r="U4" s="7">
        <f t="shared" si="7"/>
        <v>0</v>
      </c>
      <c r="V4" s="7">
        <f t="shared" si="7"/>
        <v>0</v>
      </c>
      <c r="W4" s="7">
        <f t="shared" si="7"/>
        <v>0</v>
      </c>
      <c r="X4" s="7">
        <f t="shared" si="7"/>
        <v>0</v>
      </c>
      <c r="Y4" s="7">
        <f t="shared" si="7"/>
        <v>0</v>
      </c>
      <c r="Z4" s="7">
        <f t="shared" si="7"/>
        <v>0</v>
      </c>
      <c r="AA4" s="7">
        <f t="shared" si="7"/>
        <v>0</v>
      </c>
      <c r="AB4" s="7">
        <f t="shared" si="7"/>
        <v>0</v>
      </c>
      <c r="AC4" s="7">
        <f t="shared" si="8"/>
        <v>0</v>
      </c>
      <c r="AD4" s="7">
        <f t="shared" si="8"/>
        <v>0</v>
      </c>
      <c r="AE4" s="7">
        <f t="shared" si="8"/>
        <v>0</v>
      </c>
      <c r="AF4" s="7">
        <f t="shared" si="8"/>
        <v>0</v>
      </c>
      <c r="AG4" s="7">
        <f t="shared" si="8"/>
        <v>0</v>
      </c>
      <c r="AH4" s="7">
        <f t="shared" si="8"/>
        <v>0</v>
      </c>
      <c r="AI4" s="7">
        <f t="shared" si="8"/>
        <v>0</v>
      </c>
      <c r="AJ4" s="7">
        <f t="shared" si="8"/>
        <v>0</v>
      </c>
      <c r="AK4" s="7">
        <f t="shared" si="8"/>
        <v>0</v>
      </c>
      <c r="AL4" s="7">
        <f t="shared" si="8"/>
        <v>0</v>
      </c>
      <c r="AM4" s="7">
        <f t="shared" si="8"/>
        <v>0</v>
      </c>
      <c r="AN4" s="7">
        <f t="shared" si="8"/>
        <v>0</v>
      </c>
      <c r="AO4" s="7">
        <f t="shared" si="8"/>
        <v>0</v>
      </c>
    </row>
    <row r="5" spans="1:41" x14ac:dyDescent="0.35">
      <c r="A5" s="5" t="s">
        <v>4</v>
      </c>
      <c r="B5" s="5">
        <v>4</v>
      </c>
      <c r="C5" s="7">
        <v>187968</v>
      </c>
      <c r="D5" s="8">
        <v>0.44380000233700001</v>
      </c>
      <c r="E5" s="6">
        <f t="shared" si="0"/>
        <v>0.88760000467400002</v>
      </c>
      <c r="F5" s="132">
        <f t="shared" si="11"/>
        <v>0.1</v>
      </c>
      <c r="G5" s="128">
        <f t="shared" si="1"/>
        <v>0.54380000233699999</v>
      </c>
      <c r="H5" s="132">
        <f t="shared" si="11"/>
        <v>0.8</v>
      </c>
      <c r="I5" s="128">
        <f t="shared" si="9"/>
        <v>1.2438000023370002</v>
      </c>
      <c r="J5" s="7">
        <v>0</v>
      </c>
      <c r="K5" s="7">
        <f t="shared" si="2"/>
        <v>187968</v>
      </c>
      <c r="L5" s="133">
        <f t="shared" si="10"/>
        <v>0</v>
      </c>
      <c r="M5" s="133">
        <v>0</v>
      </c>
      <c r="N5" s="6">
        <f t="shared" si="3"/>
        <v>1.1438000023370001</v>
      </c>
      <c r="O5" s="6">
        <f t="shared" si="4"/>
        <v>1.1000000000000001</v>
      </c>
      <c r="P5" s="7">
        <f t="shared" si="5"/>
        <v>18796.8</v>
      </c>
      <c r="Q5" s="131" t="str">
        <f t="shared" si="6"/>
        <v/>
      </c>
      <c r="R5" s="7"/>
      <c r="S5" s="7">
        <f>IF($P5=0,0,IF(S$1&lt;=$O5,$P5,0))</f>
        <v>18796.8</v>
      </c>
      <c r="T5" s="7">
        <f t="shared" si="7"/>
        <v>18796.8</v>
      </c>
      <c r="U5" s="7">
        <f t="shared" si="7"/>
        <v>18796.8</v>
      </c>
      <c r="V5" s="7">
        <f t="shared" si="7"/>
        <v>18796.8</v>
      </c>
      <c r="W5" s="7">
        <f t="shared" si="7"/>
        <v>18796.8</v>
      </c>
      <c r="X5" s="7">
        <f t="shared" si="7"/>
        <v>18796.8</v>
      </c>
      <c r="Y5" s="7">
        <f t="shared" si="7"/>
        <v>18796.8</v>
      </c>
      <c r="Z5" s="7">
        <f t="shared" si="7"/>
        <v>18796.8</v>
      </c>
      <c r="AA5" s="7">
        <f t="shared" si="7"/>
        <v>18796.8</v>
      </c>
      <c r="AB5" s="7">
        <f t="shared" si="7"/>
        <v>18796.8</v>
      </c>
      <c r="AC5" s="7">
        <f t="shared" si="8"/>
        <v>0</v>
      </c>
      <c r="AD5" s="7">
        <f t="shared" si="8"/>
        <v>0</v>
      </c>
      <c r="AE5" s="7">
        <f t="shared" si="8"/>
        <v>0</v>
      </c>
      <c r="AF5" s="7">
        <f t="shared" si="8"/>
        <v>0</v>
      </c>
      <c r="AG5" s="7">
        <f t="shared" si="8"/>
        <v>0</v>
      </c>
      <c r="AH5" s="7">
        <f t="shared" si="8"/>
        <v>0</v>
      </c>
      <c r="AI5" s="7">
        <f t="shared" si="8"/>
        <v>0</v>
      </c>
      <c r="AJ5" s="7">
        <f t="shared" si="8"/>
        <v>0</v>
      </c>
      <c r="AK5" s="7">
        <f t="shared" si="8"/>
        <v>0</v>
      </c>
      <c r="AL5" s="7">
        <f t="shared" si="8"/>
        <v>0</v>
      </c>
      <c r="AM5" s="7">
        <f t="shared" si="8"/>
        <v>0</v>
      </c>
      <c r="AN5" s="7">
        <f t="shared" si="8"/>
        <v>0</v>
      </c>
      <c r="AO5" s="7">
        <f t="shared" si="8"/>
        <v>0</v>
      </c>
    </row>
    <row r="6" spans="1:41" x14ac:dyDescent="0.35">
      <c r="A6" s="5" t="s">
        <v>5</v>
      </c>
      <c r="B6" s="5">
        <v>5</v>
      </c>
      <c r="C6" s="7">
        <v>1797631</v>
      </c>
      <c r="D6" s="13">
        <v>0.44299998879399999</v>
      </c>
      <c r="E6" s="6">
        <f t="shared" si="0"/>
        <v>0.88599997758799998</v>
      </c>
      <c r="F6" s="132">
        <f t="shared" si="11"/>
        <v>0.1</v>
      </c>
      <c r="G6" s="128">
        <f t="shared" si="1"/>
        <v>0.54299998879400002</v>
      </c>
      <c r="H6" s="132">
        <f t="shared" si="11"/>
        <v>0.8</v>
      </c>
      <c r="I6" s="128">
        <f t="shared" si="9"/>
        <v>1.242999988794</v>
      </c>
      <c r="J6" s="7">
        <v>1797631</v>
      </c>
      <c r="K6" s="7">
        <f t="shared" si="2"/>
        <v>0</v>
      </c>
      <c r="L6" s="133">
        <f t="shared" si="10"/>
        <v>1</v>
      </c>
      <c r="M6" s="7">
        <f>COUNTIF($L$2:$L$83,M5)</f>
        <v>33</v>
      </c>
      <c r="N6" s="6">
        <f t="shared" si="3"/>
        <v>1.1429999887939999</v>
      </c>
      <c r="O6" s="6">
        <f t="shared" si="4"/>
        <v>1.1000000000000001</v>
      </c>
      <c r="P6" s="7">
        <f t="shared" si="5"/>
        <v>0</v>
      </c>
      <c r="Q6" s="131" t="str">
        <f t="shared" si="6"/>
        <v/>
      </c>
      <c r="R6" s="7"/>
      <c r="S6" s="7">
        <f t="shared" si="7"/>
        <v>0</v>
      </c>
      <c r="T6" s="7">
        <f t="shared" si="7"/>
        <v>0</v>
      </c>
      <c r="U6" s="7">
        <f t="shared" si="7"/>
        <v>0</v>
      </c>
      <c r="V6" s="7">
        <f t="shared" si="7"/>
        <v>0</v>
      </c>
      <c r="W6" s="7">
        <f t="shared" si="7"/>
        <v>0</v>
      </c>
      <c r="X6" s="7">
        <f t="shared" si="7"/>
        <v>0</v>
      </c>
      <c r="Y6" s="7">
        <f t="shared" si="7"/>
        <v>0</v>
      </c>
      <c r="Z6" s="7">
        <f t="shared" si="7"/>
        <v>0</v>
      </c>
      <c r="AA6" s="7">
        <f t="shared" si="7"/>
        <v>0</v>
      </c>
      <c r="AB6" s="7">
        <f t="shared" si="7"/>
        <v>0</v>
      </c>
      <c r="AC6" s="7">
        <f t="shared" si="8"/>
        <v>0</v>
      </c>
      <c r="AD6" s="7">
        <f t="shared" si="8"/>
        <v>0</v>
      </c>
      <c r="AE6" s="7">
        <f t="shared" si="8"/>
        <v>0</v>
      </c>
      <c r="AF6" s="7">
        <f t="shared" si="8"/>
        <v>0</v>
      </c>
      <c r="AG6" s="7">
        <f t="shared" si="8"/>
        <v>0</v>
      </c>
      <c r="AH6" s="7">
        <f t="shared" si="8"/>
        <v>0</v>
      </c>
      <c r="AI6" s="7">
        <f t="shared" si="8"/>
        <v>0</v>
      </c>
      <c r="AJ6" s="7">
        <f t="shared" si="8"/>
        <v>0</v>
      </c>
      <c r="AK6" s="7">
        <f t="shared" si="8"/>
        <v>0</v>
      </c>
      <c r="AL6" s="7">
        <f t="shared" si="8"/>
        <v>0</v>
      </c>
      <c r="AM6" s="7">
        <f t="shared" si="8"/>
        <v>0</v>
      </c>
      <c r="AN6" s="7">
        <f t="shared" si="8"/>
        <v>0</v>
      </c>
      <c r="AO6" s="7">
        <f t="shared" si="8"/>
        <v>0</v>
      </c>
    </row>
    <row r="7" spans="1:41" x14ac:dyDescent="0.35">
      <c r="A7" s="5" t="s">
        <v>6</v>
      </c>
      <c r="B7" s="5">
        <v>6</v>
      </c>
      <c r="C7" s="7">
        <v>293721</v>
      </c>
      <c r="D7" s="8">
        <v>0.444200009108</v>
      </c>
      <c r="E7" s="6">
        <f t="shared" si="0"/>
        <v>0.88840001821600001</v>
      </c>
      <c r="F7" s="132">
        <f t="shared" si="11"/>
        <v>0.1</v>
      </c>
      <c r="G7" s="128">
        <f t="shared" si="1"/>
        <v>0.54420000910800004</v>
      </c>
      <c r="H7" s="132">
        <f t="shared" si="11"/>
        <v>0.8</v>
      </c>
      <c r="I7" s="128">
        <f t="shared" si="9"/>
        <v>1.2442000091080001</v>
      </c>
      <c r="J7" s="7">
        <v>293721</v>
      </c>
      <c r="K7" s="7">
        <f t="shared" si="2"/>
        <v>0</v>
      </c>
      <c r="L7" s="133">
        <f t="shared" si="10"/>
        <v>1</v>
      </c>
      <c r="M7" s="7"/>
      <c r="N7" s="6">
        <f t="shared" si="3"/>
        <v>1.144200009108</v>
      </c>
      <c r="O7" s="6">
        <f t="shared" si="4"/>
        <v>1.1000000000000001</v>
      </c>
      <c r="P7" s="7">
        <f t="shared" si="5"/>
        <v>0</v>
      </c>
      <c r="Q7" s="131" t="str">
        <f t="shared" si="6"/>
        <v/>
      </c>
      <c r="R7" s="7"/>
      <c r="S7" s="7">
        <f t="shared" si="7"/>
        <v>0</v>
      </c>
      <c r="T7" s="7">
        <f t="shared" si="7"/>
        <v>0</v>
      </c>
      <c r="U7" s="7">
        <f t="shared" si="7"/>
        <v>0</v>
      </c>
      <c r="V7" s="7">
        <f t="shared" si="7"/>
        <v>0</v>
      </c>
      <c r="W7" s="7">
        <f t="shared" si="7"/>
        <v>0</v>
      </c>
      <c r="X7" s="7">
        <f t="shared" si="7"/>
        <v>0</v>
      </c>
      <c r="Y7" s="7">
        <f t="shared" si="7"/>
        <v>0</v>
      </c>
      <c r="Z7" s="7">
        <f t="shared" si="7"/>
        <v>0</v>
      </c>
      <c r="AA7" s="7">
        <f t="shared" si="7"/>
        <v>0</v>
      </c>
      <c r="AB7" s="7">
        <f t="shared" si="7"/>
        <v>0</v>
      </c>
      <c r="AC7" s="7">
        <f t="shared" si="8"/>
        <v>0</v>
      </c>
      <c r="AD7" s="7">
        <f t="shared" si="8"/>
        <v>0</v>
      </c>
      <c r="AE7" s="7">
        <f t="shared" si="8"/>
        <v>0</v>
      </c>
      <c r="AF7" s="7">
        <f t="shared" si="8"/>
        <v>0</v>
      </c>
      <c r="AG7" s="7">
        <f t="shared" si="8"/>
        <v>0</v>
      </c>
      <c r="AH7" s="7">
        <f t="shared" si="8"/>
        <v>0</v>
      </c>
      <c r="AI7" s="7">
        <f t="shared" si="8"/>
        <v>0</v>
      </c>
      <c r="AJ7" s="7">
        <f t="shared" si="8"/>
        <v>0</v>
      </c>
      <c r="AK7" s="7">
        <f t="shared" si="8"/>
        <v>0</v>
      </c>
      <c r="AL7" s="7">
        <f t="shared" si="8"/>
        <v>0</v>
      </c>
      <c r="AM7" s="7">
        <f t="shared" si="8"/>
        <v>0</v>
      </c>
      <c r="AN7" s="7">
        <f t="shared" si="8"/>
        <v>0</v>
      </c>
      <c r="AO7" s="7">
        <f t="shared" si="8"/>
        <v>0</v>
      </c>
    </row>
    <row r="8" spans="1:41" x14ac:dyDescent="0.35">
      <c r="A8" s="5" t="s">
        <v>7</v>
      </c>
      <c r="B8" s="5">
        <v>7</v>
      </c>
      <c r="C8" s="7">
        <v>39059</v>
      </c>
      <c r="D8" s="8">
        <v>0.44459998607599999</v>
      </c>
      <c r="E8" s="6">
        <f t="shared" si="0"/>
        <v>0.88919997215199997</v>
      </c>
      <c r="F8" s="132">
        <f t="shared" si="11"/>
        <v>0.1</v>
      </c>
      <c r="G8" s="128">
        <f t="shared" si="1"/>
        <v>0.54459998607600002</v>
      </c>
      <c r="H8" s="132">
        <f t="shared" si="11"/>
        <v>0.8</v>
      </c>
      <c r="I8" s="128">
        <f t="shared" si="9"/>
        <v>1.244599986076</v>
      </c>
      <c r="J8" s="7">
        <v>39059</v>
      </c>
      <c r="K8" s="7">
        <f t="shared" si="2"/>
        <v>0</v>
      </c>
      <c r="L8" s="133">
        <f t="shared" si="10"/>
        <v>1</v>
      </c>
      <c r="M8" s="7" t="s">
        <v>509</v>
      </c>
      <c r="N8" s="6">
        <f t="shared" si="3"/>
        <v>1.1445999860759999</v>
      </c>
      <c r="O8" s="6">
        <f t="shared" si="4"/>
        <v>1.1000000000000001</v>
      </c>
      <c r="P8" s="7">
        <f t="shared" si="5"/>
        <v>0</v>
      </c>
      <c r="Q8" s="131" t="str">
        <f t="shared" si="6"/>
        <v/>
      </c>
      <c r="R8" s="7"/>
      <c r="S8" s="7">
        <f t="shared" si="7"/>
        <v>0</v>
      </c>
      <c r="T8" s="7">
        <f t="shared" si="7"/>
        <v>0</v>
      </c>
      <c r="U8" s="7">
        <f t="shared" si="7"/>
        <v>0</v>
      </c>
      <c r="V8" s="7">
        <f t="shared" si="7"/>
        <v>0</v>
      </c>
      <c r="W8" s="7">
        <f t="shared" si="7"/>
        <v>0</v>
      </c>
      <c r="X8" s="7">
        <f t="shared" si="7"/>
        <v>0</v>
      </c>
      <c r="Y8" s="7">
        <f t="shared" si="7"/>
        <v>0</v>
      </c>
      <c r="Z8" s="7">
        <f t="shared" si="7"/>
        <v>0</v>
      </c>
      <c r="AA8" s="7">
        <f t="shared" si="7"/>
        <v>0</v>
      </c>
      <c r="AB8" s="7">
        <f t="shared" si="7"/>
        <v>0</v>
      </c>
      <c r="AC8" s="7">
        <f t="shared" si="8"/>
        <v>0</v>
      </c>
      <c r="AD8" s="7">
        <f t="shared" si="8"/>
        <v>0</v>
      </c>
      <c r="AE8" s="7">
        <f t="shared" si="8"/>
        <v>0</v>
      </c>
      <c r="AF8" s="7">
        <f t="shared" si="8"/>
        <v>0</v>
      </c>
      <c r="AG8" s="7">
        <f t="shared" si="8"/>
        <v>0</v>
      </c>
      <c r="AH8" s="7">
        <f t="shared" si="8"/>
        <v>0</v>
      </c>
      <c r="AI8" s="7">
        <f t="shared" si="8"/>
        <v>0</v>
      </c>
      <c r="AJ8" s="7">
        <f t="shared" si="8"/>
        <v>0</v>
      </c>
      <c r="AK8" s="7">
        <f t="shared" si="8"/>
        <v>0</v>
      </c>
      <c r="AL8" s="7">
        <f t="shared" si="8"/>
        <v>0</v>
      </c>
      <c r="AM8" s="7">
        <f t="shared" si="8"/>
        <v>0</v>
      </c>
      <c r="AN8" s="7">
        <f t="shared" si="8"/>
        <v>0</v>
      </c>
      <c r="AO8" s="7">
        <f t="shared" si="8"/>
        <v>0</v>
      </c>
    </row>
    <row r="9" spans="1:41" s="9" customFormat="1" x14ac:dyDescent="0.35">
      <c r="A9" s="9" t="s">
        <v>8</v>
      </c>
      <c r="B9" s="9">
        <v>8</v>
      </c>
      <c r="C9" s="11">
        <v>57454</v>
      </c>
      <c r="D9" s="12">
        <v>0.446500003338</v>
      </c>
      <c r="E9" s="10">
        <f t="shared" si="0"/>
        <v>0.89300000667599999</v>
      </c>
      <c r="F9" s="132">
        <f t="shared" si="11"/>
        <v>0.1</v>
      </c>
      <c r="G9" s="128">
        <f t="shared" si="1"/>
        <v>0.54650000333799997</v>
      </c>
      <c r="H9" s="132">
        <f t="shared" si="11"/>
        <v>0.8</v>
      </c>
      <c r="I9" s="128">
        <f t="shared" si="9"/>
        <v>1.246500003338</v>
      </c>
      <c r="J9" s="7">
        <v>57454</v>
      </c>
      <c r="K9" s="7">
        <f t="shared" si="2"/>
        <v>0</v>
      </c>
      <c r="L9" s="133">
        <f t="shared" si="10"/>
        <v>1</v>
      </c>
      <c r="M9" s="7">
        <f>100-M3-M6</f>
        <v>45</v>
      </c>
      <c r="N9" s="6">
        <f t="shared" si="3"/>
        <v>1.146500003338</v>
      </c>
      <c r="O9" s="6">
        <f t="shared" si="4"/>
        <v>1.1000000000000001</v>
      </c>
      <c r="P9" s="7">
        <f t="shared" si="5"/>
        <v>0</v>
      </c>
      <c r="Q9" s="131" t="str">
        <f t="shared" si="6"/>
        <v/>
      </c>
      <c r="R9" s="7"/>
      <c r="S9" s="7">
        <f t="shared" si="7"/>
        <v>0</v>
      </c>
      <c r="T9" s="7">
        <f t="shared" si="7"/>
        <v>0</v>
      </c>
      <c r="U9" s="7">
        <f t="shared" si="7"/>
        <v>0</v>
      </c>
      <c r="V9" s="7">
        <f t="shared" si="7"/>
        <v>0</v>
      </c>
      <c r="W9" s="7">
        <f t="shared" si="7"/>
        <v>0</v>
      </c>
      <c r="X9" s="7">
        <f t="shared" si="7"/>
        <v>0</v>
      </c>
      <c r="Y9" s="7">
        <f t="shared" si="7"/>
        <v>0</v>
      </c>
      <c r="Z9" s="7">
        <f t="shared" si="7"/>
        <v>0</v>
      </c>
      <c r="AA9" s="7">
        <f t="shared" si="7"/>
        <v>0</v>
      </c>
      <c r="AB9" s="7">
        <f t="shared" si="7"/>
        <v>0</v>
      </c>
      <c r="AC9" s="7">
        <f t="shared" si="8"/>
        <v>0</v>
      </c>
      <c r="AD9" s="7">
        <f t="shared" si="8"/>
        <v>0</v>
      </c>
      <c r="AE9" s="7">
        <f t="shared" si="8"/>
        <v>0</v>
      </c>
      <c r="AF9" s="7">
        <f t="shared" si="8"/>
        <v>0</v>
      </c>
      <c r="AG9" s="7">
        <f t="shared" si="8"/>
        <v>0</v>
      </c>
      <c r="AH9" s="7">
        <f t="shared" si="8"/>
        <v>0</v>
      </c>
      <c r="AI9" s="7">
        <f t="shared" si="8"/>
        <v>0</v>
      </c>
      <c r="AJ9" s="7">
        <f t="shared" si="8"/>
        <v>0</v>
      </c>
      <c r="AK9" s="7">
        <f t="shared" si="8"/>
        <v>0</v>
      </c>
      <c r="AL9" s="7">
        <f t="shared" si="8"/>
        <v>0</v>
      </c>
      <c r="AM9" s="7">
        <f t="shared" si="8"/>
        <v>0</v>
      </c>
      <c r="AN9" s="7">
        <f t="shared" si="8"/>
        <v>0</v>
      </c>
      <c r="AO9" s="7">
        <f t="shared" si="8"/>
        <v>0</v>
      </c>
    </row>
    <row r="10" spans="1:41" s="9" customFormat="1" x14ac:dyDescent="0.35">
      <c r="A10" s="9" t="s">
        <v>9</v>
      </c>
      <c r="B10" s="9">
        <v>9</v>
      </c>
      <c r="C10" s="11">
        <v>1171700</v>
      </c>
      <c r="D10" s="14">
        <v>0.44670000672299998</v>
      </c>
      <c r="E10" s="10">
        <f t="shared" si="0"/>
        <v>0.89340001344599995</v>
      </c>
      <c r="F10" s="132">
        <f t="shared" si="11"/>
        <v>0.1</v>
      </c>
      <c r="G10" s="128">
        <f t="shared" si="1"/>
        <v>0.54670000672300001</v>
      </c>
      <c r="H10" s="132">
        <f t="shared" si="11"/>
        <v>0.8</v>
      </c>
      <c r="I10" s="128">
        <f t="shared" si="9"/>
        <v>1.2467000067230001</v>
      </c>
      <c r="J10" s="7">
        <v>1171700</v>
      </c>
      <c r="K10" s="7">
        <f t="shared" si="2"/>
        <v>0</v>
      </c>
      <c r="L10" s="133">
        <f t="shared" si="10"/>
        <v>1</v>
      </c>
      <c r="M10" s="7"/>
      <c r="N10" s="6">
        <f t="shared" si="3"/>
        <v>1.146700006723</v>
      </c>
      <c r="O10" s="6">
        <f t="shared" si="4"/>
        <v>1.1000000000000001</v>
      </c>
      <c r="P10" s="7">
        <f t="shared" si="5"/>
        <v>0</v>
      </c>
      <c r="Q10" s="131" t="str">
        <f t="shared" si="6"/>
        <v/>
      </c>
      <c r="R10" s="7"/>
      <c r="S10" s="7">
        <f t="shared" si="7"/>
        <v>0</v>
      </c>
      <c r="T10" s="7">
        <f t="shared" si="7"/>
        <v>0</v>
      </c>
      <c r="U10" s="7">
        <f t="shared" si="7"/>
        <v>0</v>
      </c>
      <c r="V10" s="7">
        <f t="shared" si="7"/>
        <v>0</v>
      </c>
      <c r="W10" s="7">
        <f t="shared" si="7"/>
        <v>0</v>
      </c>
      <c r="X10" s="7">
        <f t="shared" si="7"/>
        <v>0</v>
      </c>
      <c r="Y10" s="7">
        <f t="shared" si="7"/>
        <v>0</v>
      </c>
      <c r="Z10" s="7">
        <f t="shared" si="7"/>
        <v>0</v>
      </c>
      <c r="AA10" s="7">
        <f t="shared" si="7"/>
        <v>0</v>
      </c>
      <c r="AB10" s="7">
        <f t="shared" si="7"/>
        <v>0</v>
      </c>
      <c r="AC10" s="7">
        <f t="shared" si="8"/>
        <v>0</v>
      </c>
      <c r="AD10" s="7">
        <f t="shared" si="8"/>
        <v>0</v>
      </c>
      <c r="AE10" s="7">
        <f t="shared" si="8"/>
        <v>0</v>
      </c>
      <c r="AF10" s="7">
        <f t="shared" si="8"/>
        <v>0</v>
      </c>
      <c r="AG10" s="7">
        <f t="shared" si="8"/>
        <v>0</v>
      </c>
      <c r="AH10" s="7">
        <f t="shared" si="8"/>
        <v>0</v>
      </c>
      <c r="AI10" s="7">
        <f t="shared" si="8"/>
        <v>0</v>
      </c>
      <c r="AJ10" s="7">
        <f t="shared" si="8"/>
        <v>0</v>
      </c>
      <c r="AK10" s="7">
        <f t="shared" si="8"/>
        <v>0</v>
      </c>
      <c r="AL10" s="7">
        <f t="shared" si="8"/>
        <v>0</v>
      </c>
      <c r="AM10" s="7">
        <f t="shared" si="8"/>
        <v>0</v>
      </c>
      <c r="AN10" s="7">
        <f t="shared" si="8"/>
        <v>0</v>
      </c>
      <c r="AO10" s="7">
        <f t="shared" si="8"/>
        <v>0</v>
      </c>
    </row>
    <row r="11" spans="1:41" s="9" customFormat="1" x14ac:dyDescent="0.35">
      <c r="A11" s="9" t="s">
        <v>10</v>
      </c>
      <c r="B11" s="9">
        <v>10</v>
      </c>
      <c r="C11" s="11">
        <v>534864</v>
      </c>
      <c r="D11" s="12">
        <v>0.43830001354199999</v>
      </c>
      <c r="E11" s="10">
        <f t="shared" si="0"/>
        <v>0.87660002708399998</v>
      </c>
      <c r="F11" s="132">
        <f t="shared" si="11"/>
        <v>0.1</v>
      </c>
      <c r="G11" s="128">
        <f t="shared" si="1"/>
        <v>0.53830001354199997</v>
      </c>
      <c r="H11" s="132">
        <f t="shared" si="11"/>
        <v>0.8</v>
      </c>
      <c r="I11" s="128">
        <f t="shared" si="9"/>
        <v>1.2383000135420001</v>
      </c>
      <c r="J11" s="7">
        <v>534864</v>
      </c>
      <c r="K11" s="7">
        <f t="shared" si="2"/>
        <v>0</v>
      </c>
      <c r="L11" s="133">
        <f t="shared" si="10"/>
        <v>1</v>
      </c>
      <c r="M11" s="7"/>
      <c r="N11" s="6">
        <f t="shared" si="3"/>
        <v>1.1383000135420001</v>
      </c>
      <c r="O11" s="6">
        <f t="shared" si="4"/>
        <v>1.1000000000000001</v>
      </c>
      <c r="P11" s="7">
        <f t="shared" si="5"/>
        <v>0</v>
      </c>
      <c r="Q11" s="131" t="str">
        <f t="shared" si="6"/>
        <v/>
      </c>
      <c r="R11" s="7"/>
      <c r="S11" s="7">
        <f t="shared" si="7"/>
        <v>0</v>
      </c>
      <c r="T11" s="7">
        <f t="shared" si="7"/>
        <v>0</v>
      </c>
      <c r="U11" s="7">
        <f t="shared" si="7"/>
        <v>0</v>
      </c>
      <c r="V11" s="7">
        <f t="shared" si="7"/>
        <v>0</v>
      </c>
      <c r="W11" s="7">
        <f t="shared" si="7"/>
        <v>0</v>
      </c>
      <c r="X11" s="7">
        <f t="shared" si="7"/>
        <v>0</v>
      </c>
      <c r="Y11" s="7">
        <f t="shared" si="7"/>
        <v>0</v>
      </c>
      <c r="Z11" s="7">
        <f t="shared" si="7"/>
        <v>0</v>
      </c>
      <c r="AA11" s="7">
        <f t="shared" si="7"/>
        <v>0</v>
      </c>
      <c r="AB11" s="7">
        <f t="shared" si="7"/>
        <v>0</v>
      </c>
      <c r="AC11" s="7">
        <f t="shared" si="8"/>
        <v>0</v>
      </c>
      <c r="AD11" s="7">
        <f t="shared" si="8"/>
        <v>0</v>
      </c>
      <c r="AE11" s="7">
        <f t="shared" si="8"/>
        <v>0</v>
      </c>
      <c r="AF11" s="7">
        <f t="shared" si="8"/>
        <v>0</v>
      </c>
      <c r="AG11" s="7">
        <f t="shared" si="8"/>
        <v>0</v>
      </c>
      <c r="AH11" s="7">
        <f t="shared" si="8"/>
        <v>0</v>
      </c>
      <c r="AI11" s="7">
        <f t="shared" si="8"/>
        <v>0</v>
      </c>
      <c r="AJ11" s="7">
        <f t="shared" si="8"/>
        <v>0</v>
      </c>
      <c r="AK11" s="7">
        <f t="shared" si="8"/>
        <v>0</v>
      </c>
      <c r="AL11" s="7">
        <f t="shared" si="8"/>
        <v>0</v>
      </c>
      <c r="AM11" s="7">
        <f t="shared" si="8"/>
        <v>0</v>
      </c>
      <c r="AN11" s="7">
        <f t="shared" si="8"/>
        <v>0</v>
      </c>
      <c r="AO11" s="7">
        <f t="shared" si="8"/>
        <v>0</v>
      </c>
    </row>
    <row r="12" spans="1:41" x14ac:dyDescent="0.35">
      <c r="A12" s="5" t="s">
        <v>11</v>
      </c>
      <c r="B12" s="5">
        <v>11</v>
      </c>
      <c r="C12" s="7">
        <v>166047</v>
      </c>
      <c r="D12" s="8">
        <v>0.43900001048999998</v>
      </c>
      <c r="E12" s="6">
        <f t="shared" si="0"/>
        <v>0.87800002097999996</v>
      </c>
      <c r="F12" s="132">
        <f t="shared" si="11"/>
        <v>0.1</v>
      </c>
      <c r="G12" s="128">
        <f t="shared" si="1"/>
        <v>0.53900001049000001</v>
      </c>
      <c r="H12" s="132">
        <f t="shared" si="11"/>
        <v>0.8</v>
      </c>
      <c r="I12" s="128">
        <f t="shared" si="9"/>
        <v>1.2390000104900001</v>
      </c>
      <c r="J12" s="7">
        <v>166047</v>
      </c>
      <c r="K12" s="7">
        <f t="shared" si="2"/>
        <v>0</v>
      </c>
      <c r="L12" s="133">
        <f t="shared" si="10"/>
        <v>1</v>
      </c>
      <c r="M12" s="7"/>
      <c r="N12" s="6">
        <f t="shared" si="3"/>
        <v>1.13900001049</v>
      </c>
      <c r="O12" s="6">
        <f t="shared" si="4"/>
        <v>1.1000000000000001</v>
      </c>
      <c r="P12" s="7">
        <f t="shared" si="5"/>
        <v>0</v>
      </c>
      <c r="Q12" s="131" t="str">
        <f t="shared" si="6"/>
        <v/>
      </c>
      <c r="R12" s="7"/>
      <c r="S12" s="7">
        <f t="shared" ref="S12:AB21" si="12">IF($P12=0,0,IF(S$1&lt;=$O12,$P12,0))</f>
        <v>0</v>
      </c>
      <c r="T12" s="7">
        <f t="shared" si="12"/>
        <v>0</v>
      </c>
      <c r="U12" s="7">
        <f t="shared" si="12"/>
        <v>0</v>
      </c>
      <c r="V12" s="7">
        <f t="shared" si="12"/>
        <v>0</v>
      </c>
      <c r="W12" s="7">
        <f t="shared" si="12"/>
        <v>0</v>
      </c>
      <c r="X12" s="7">
        <f t="shared" si="12"/>
        <v>0</v>
      </c>
      <c r="Y12" s="7">
        <f t="shared" si="12"/>
        <v>0</v>
      </c>
      <c r="Z12" s="7">
        <f t="shared" si="12"/>
        <v>0</v>
      </c>
      <c r="AA12" s="7">
        <f t="shared" si="12"/>
        <v>0</v>
      </c>
      <c r="AB12" s="7">
        <f t="shared" si="12"/>
        <v>0</v>
      </c>
      <c r="AC12" s="7">
        <f t="shared" ref="AC12:AO21" si="13">IF($P12=0,0,IF(AC$1&lt;=$O12,$P12,0))</f>
        <v>0</v>
      </c>
      <c r="AD12" s="7">
        <f t="shared" si="13"/>
        <v>0</v>
      </c>
      <c r="AE12" s="7">
        <f t="shared" si="13"/>
        <v>0</v>
      </c>
      <c r="AF12" s="7">
        <f t="shared" si="13"/>
        <v>0</v>
      </c>
      <c r="AG12" s="7">
        <f t="shared" si="13"/>
        <v>0</v>
      </c>
      <c r="AH12" s="7">
        <f t="shared" si="13"/>
        <v>0</v>
      </c>
      <c r="AI12" s="7">
        <f t="shared" si="13"/>
        <v>0</v>
      </c>
      <c r="AJ12" s="7">
        <f t="shared" si="13"/>
        <v>0</v>
      </c>
      <c r="AK12" s="7">
        <f t="shared" si="13"/>
        <v>0</v>
      </c>
      <c r="AL12" s="7">
        <f t="shared" si="13"/>
        <v>0</v>
      </c>
      <c r="AM12" s="7">
        <f t="shared" si="13"/>
        <v>0</v>
      </c>
      <c r="AN12" s="7">
        <f t="shared" si="13"/>
        <v>0</v>
      </c>
      <c r="AO12" s="7">
        <f t="shared" si="13"/>
        <v>0</v>
      </c>
    </row>
    <row r="13" spans="1:41" x14ac:dyDescent="0.35">
      <c r="A13" s="5" t="s">
        <v>12</v>
      </c>
      <c r="B13" s="5">
        <v>12</v>
      </c>
      <c r="C13" s="7">
        <v>599547</v>
      </c>
      <c r="D13" s="8">
        <v>0.44190001487699998</v>
      </c>
      <c r="E13" s="6">
        <f t="shared" si="0"/>
        <v>0.88380002975399996</v>
      </c>
      <c r="F13" s="132">
        <f t="shared" si="11"/>
        <v>0.1</v>
      </c>
      <c r="G13" s="128">
        <f t="shared" si="1"/>
        <v>0.54190001487700001</v>
      </c>
      <c r="H13" s="132">
        <f t="shared" si="11"/>
        <v>0.8</v>
      </c>
      <c r="I13" s="128">
        <f t="shared" si="9"/>
        <v>1.2419000148770001</v>
      </c>
      <c r="J13" s="7">
        <v>264538</v>
      </c>
      <c r="K13" s="7">
        <f>C13-J13</f>
        <v>335009</v>
      </c>
      <c r="L13" s="133">
        <f t="shared" si="10"/>
        <v>0.44122979516201399</v>
      </c>
      <c r="M13" s="7"/>
      <c r="N13" s="6">
        <f t="shared" si="3"/>
        <v>1.141900014877</v>
      </c>
      <c r="O13" s="6">
        <f t="shared" si="4"/>
        <v>1.1000000000000001</v>
      </c>
      <c r="P13" s="7">
        <f t="shared" si="5"/>
        <v>33500.9</v>
      </c>
      <c r="Q13" s="131" t="str">
        <f t="shared" si="6"/>
        <v/>
      </c>
      <c r="R13" s="7"/>
      <c r="S13" s="7">
        <f t="shared" si="12"/>
        <v>33500.9</v>
      </c>
      <c r="T13" s="7">
        <f t="shared" si="12"/>
        <v>33500.9</v>
      </c>
      <c r="U13" s="7">
        <f t="shared" si="12"/>
        <v>33500.9</v>
      </c>
      <c r="V13" s="7">
        <f t="shared" si="12"/>
        <v>33500.9</v>
      </c>
      <c r="W13" s="7">
        <f t="shared" si="12"/>
        <v>33500.9</v>
      </c>
      <c r="X13" s="7">
        <f t="shared" si="12"/>
        <v>33500.9</v>
      </c>
      <c r="Y13" s="7">
        <f t="shared" si="12"/>
        <v>33500.9</v>
      </c>
      <c r="Z13" s="7">
        <f t="shared" si="12"/>
        <v>33500.9</v>
      </c>
      <c r="AA13" s="7">
        <f t="shared" si="12"/>
        <v>33500.9</v>
      </c>
      <c r="AB13" s="7">
        <f t="shared" si="12"/>
        <v>33500.9</v>
      </c>
      <c r="AC13" s="7">
        <f t="shared" si="13"/>
        <v>0</v>
      </c>
      <c r="AD13" s="7">
        <f t="shared" si="13"/>
        <v>0</v>
      </c>
      <c r="AE13" s="7">
        <f t="shared" si="13"/>
        <v>0</v>
      </c>
      <c r="AF13" s="7">
        <f t="shared" si="13"/>
        <v>0</v>
      </c>
      <c r="AG13" s="7">
        <f t="shared" si="13"/>
        <v>0</v>
      </c>
      <c r="AH13" s="7">
        <f t="shared" si="13"/>
        <v>0</v>
      </c>
      <c r="AI13" s="7">
        <f t="shared" si="13"/>
        <v>0</v>
      </c>
      <c r="AJ13" s="7">
        <f t="shared" si="13"/>
        <v>0</v>
      </c>
      <c r="AK13" s="7">
        <f t="shared" si="13"/>
        <v>0</v>
      </c>
      <c r="AL13" s="7">
        <f t="shared" si="13"/>
        <v>0</v>
      </c>
      <c r="AM13" s="7">
        <f t="shared" si="13"/>
        <v>0</v>
      </c>
      <c r="AN13" s="7">
        <f t="shared" si="13"/>
        <v>0</v>
      </c>
      <c r="AO13" s="7">
        <f t="shared" si="13"/>
        <v>0</v>
      </c>
    </row>
    <row r="14" spans="1:41" x14ac:dyDescent="0.35">
      <c r="A14" s="5" t="s">
        <v>13</v>
      </c>
      <c r="B14" s="5">
        <v>13</v>
      </c>
      <c r="C14" s="7">
        <v>81396</v>
      </c>
      <c r="D14" s="8">
        <v>0.444200009108</v>
      </c>
      <c r="E14" s="6">
        <f t="shared" si="0"/>
        <v>0.88840001821600001</v>
      </c>
      <c r="F14" s="132">
        <f t="shared" si="11"/>
        <v>0.1</v>
      </c>
      <c r="G14" s="128">
        <f t="shared" si="1"/>
        <v>0.54420000910800004</v>
      </c>
      <c r="H14" s="132">
        <f t="shared" si="11"/>
        <v>0.8</v>
      </c>
      <c r="I14" s="128">
        <f t="shared" si="9"/>
        <v>1.2442000091080001</v>
      </c>
      <c r="J14" s="7">
        <v>81396</v>
      </c>
      <c r="K14" s="7">
        <f t="shared" ref="K14:K77" si="14">C14-J14</f>
        <v>0</v>
      </c>
      <c r="L14" s="133">
        <f t="shared" si="10"/>
        <v>1</v>
      </c>
      <c r="M14" s="7"/>
      <c r="N14" s="6">
        <f t="shared" si="3"/>
        <v>1.144200009108</v>
      </c>
      <c r="O14" s="6">
        <f t="shared" si="4"/>
        <v>1.1000000000000001</v>
      </c>
      <c r="P14" s="7">
        <f t="shared" si="5"/>
        <v>0</v>
      </c>
      <c r="Q14" s="131" t="str">
        <f t="shared" si="6"/>
        <v/>
      </c>
      <c r="R14" s="7"/>
      <c r="S14" s="7">
        <f t="shared" si="12"/>
        <v>0</v>
      </c>
      <c r="T14" s="7">
        <f t="shared" si="12"/>
        <v>0</v>
      </c>
      <c r="U14" s="7">
        <f t="shared" si="12"/>
        <v>0</v>
      </c>
      <c r="V14" s="7">
        <f t="shared" si="12"/>
        <v>0</v>
      </c>
      <c r="W14" s="7">
        <f t="shared" si="12"/>
        <v>0</v>
      </c>
      <c r="X14" s="7">
        <f t="shared" si="12"/>
        <v>0</v>
      </c>
      <c r="Y14" s="7">
        <f t="shared" si="12"/>
        <v>0</v>
      </c>
      <c r="Z14" s="7">
        <f t="shared" si="12"/>
        <v>0</v>
      </c>
      <c r="AA14" s="7">
        <f t="shared" si="12"/>
        <v>0</v>
      </c>
      <c r="AB14" s="7">
        <f t="shared" si="12"/>
        <v>0</v>
      </c>
      <c r="AC14" s="7">
        <f t="shared" si="13"/>
        <v>0</v>
      </c>
      <c r="AD14" s="7">
        <f t="shared" si="13"/>
        <v>0</v>
      </c>
      <c r="AE14" s="7">
        <f t="shared" si="13"/>
        <v>0</v>
      </c>
      <c r="AF14" s="7">
        <f t="shared" si="13"/>
        <v>0</v>
      </c>
      <c r="AG14" s="7">
        <f t="shared" si="13"/>
        <v>0</v>
      </c>
      <c r="AH14" s="7">
        <f t="shared" si="13"/>
        <v>0</v>
      </c>
      <c r="AI14" s="7">
        <f t="shared" si="13"/>
        <v>0</v>
      </c>
      <c r="AJ14" s="7">
        <f t="shared" si="13"/>
        <v>0</v>
      </c>
      <c r="AK14" s="7">
        <f t="shared" si="13"/>
        <v>0</v>
      </c>
      <c r="AL14" s="7">
        <f t="shared" si="13"/>
        <v>0</v>
      </c>
      <c r="AM14" s="7">
        <f t="shared" si="13"/>
        <v>0</v>
      </c>
      <c r="AN14" s="7">
        <f t="shared" si="13"/>
        <v>0</v>
      </c>
      <c r="AO14" s="7">
        <f t="shared" si="13"/>
        <v>0</v>
      </c>
    </row>
    <row r="15" spans="1:41" x14ac:dyDescent="0.35">
      <c r="A15" s="5" t="s">
        <v>14</v>
      </c>
      <c r="B15" s="5">
        <v>14</v>
      </c>
      <c r="C15" s="7">
        <v>1165426</v>
      </c>
      <c r="D15" s="8">
        <v>0.44890001416199998</v>
      </c>
      <c r="E15" s="6">
        <f t="shared" si="0"/>
        <v>0.89780002832399997</v>
      </c>
      <c r="F15" s="132">
        <f t="shared" si="11"/>
        <v>0.1</v>
      </c>
      <c r="G15" s="128">
        <f t="shared" si="1"/>
        <v>0.54890001416199996</v>
      </c>
      <c r="H15" s="132">
        <f t="shared" si="11"/>
        <v>0.8</v>
      </c>
      <c r="I15" s="128">
        <f t="shared" si="9"/>
        <v>1.2489000141619999</v>
      </c>
      <c r="J15" s="7">
        <v>1165426</v>
      </c>
      <c r="K15" s="7">
        <f t="shared" si="14"/>
        <v>0</v>
      </c>
      <c r="L15" s="133">
        <f t="shared" si="10"/>
        <v>1</v>
      </c>
      <c r="M15" s="7"/>
      <c r="N15" s="6">
        <f t="shared" si="3"/>
        <v>1.1489000141619998</v>
      </c>
      <c r="O15" s="6">
        <f t="shared" si="4"/>
        <v>1.1000000000000001</v>
      </c>
      <c r="P15" s="7">
        <f t="shared" si="5"/>
        <v>0</v>
      </c>
      <c r="Q15" s="131" t="str">
        <f t="shared" si="6"/>
        <v/>
      </c>
      <c r="R15" s="7"/>
      <c r="S15" s="7">
        <f t="shared" si="12"/>
        <v>0</v>
      </c>
      <c r="T15" s="7">
        <f t="shared" si="12"/>
        <v>0</v>
      </c>
      <c r="U15" s="7">
        <f t="shared" si="12"/>
        <v>0</v>
      </c>
      <c r="V15" s="7">
        <f t="shared" si="12"/>
        <v>0</v>
      </c>
      <c r="W15" s="7">
        <f t="shared" si="12"/>
        <v>0</v>
      </c>
      <c r="X15" s="7">
        <f t="shared" si="12"/>
        <v>0</v>
      </c>
      <c r="Y15" s="7">
        <f t="shared" si="12"/>
        <v>0</v>
      </c>
      <c r="Z15" s="7">
        <f t="shared" si="12"/>
        <v>0</v>
      </c>
      <c r="AA15" s="7">
        <f t="shared" si="12"/>
        <v>0</v>
      </c>
      <c r="AB15" s="7">
        <f t="shared" si="12"/>
        <v>0</v>
      </c>
      <c r="AC15" s="7">
        <f t="shared" si="13"/>
        <v>0</v>
      </c>
      <c r="AD15" s="7">
        <f t="shared" si="13"/>
        <v>0</v>
      </c>
      <c r="AE15" s="7">
        <f t="shared" si="13"/>
        <v>0</v>
      </c>
      <c r="AF15" s="7">
        <f t="shared" si="13"/>
        <v>0</v>
      </c>
      <c r="AG15" s="7">
        <f t="shared" si="13"/>
        <v>0</v>
      </c>
      <c r="AH15" s="7">
        <f t="shared" si="13"/>
        <v>0</v>
      </c>
      <c r="AI15" s="7">
        <f t="shared" si="13"/>
        <v>0</v>
      </c>
      <c r="AJ15" s="7">
        <f t="shared" si="13"/>
        <v>0</v>
      </c>
      <c r="AK15" s="7">
        <f t="shared" si="13"/>
        <v>0</v>
      </c>
      <c r="AL15" s="7">
        <f t="shared" si="13"/>
        <v>0</v>
      </c>
      <c r="AM15" s="7">
        <f t="shared" si="13"/>
        <v>0</v>
      </c>
      <c r="AN15" s="7">
        <f t="shared" si="13"/>
        <v>0</v>
      </c>
      <c r="AO15" s="7">
        <f t="shared" si="13"/>
        <v>0</v>
      </c>
    </row>
    <row r="16" spans="1:41" x14ac:dyDescent="0.35">
      <c r="A16" s="5" t="s">
        <v>15</v>
      </c>
      <c r="B16" s="5">
        <v>15</v>
      </c>
      <c r="C16" s="7">
        <v>949451</v>
      </c>
      <c r="D16" s="8">
        <v>0.451799988747</v>
      </c>
      <c r="E16" s="6">
        <f t="shared" si="0"/>
        <v>0.90359997749400001</v>
      </c>
      <c r="F16" s="132">
        <f t="shared" si="11"/>
        <v>0.1</v>
      </c>
      <c r="G16" s="128">
        <f t="shared" si="1"/>
        <v>0.55179998874699998</v>
      </c>
      <c r="H16" s="132">
        <f t="shared" si="11"/>
        <v>0.8</v>
      </c>
      <c r="I16" s="128">
        <f t="shared" si="9"/>
        <v>1.2517999887469999</v>
      </c>
      <c r="J16" s="7">
        <v>949451</v>
      </c>
      <c r="K16" s="7">
        <f t="shared" si="14"/>
        <v>0</v>
      </c>
      <c r="L16" s="133">
        <f t="shared" si="10"/>
        <v>1</v>
      </c>
      <c r="M16" s="7"/>
      <c r="N16" s="6">
        <f t="shared" si="3"/>
        <v>1.1517999887469998</v>
      </c>
      <c r="O16" s="6">
        <f t="shared" si="4"/>
        <v>1.2</v>
      </c>
      <c r="P16" s="7">
        <f t="shared" si="5"/>
        <v>0</v>
      </c>
      <c r="Q16" s="131" t="str">
        <f t="shared" si="6"/>
        <v/>
      </c>
      <c r="R16" s="7"/>
      <c r="S16" s="7">
        <f t="shared" si="12"/>
        <v>0</v>
      </c>
      <c r="T16" s="7">
        <f t="shared" si="12"/>
        <v>0</v>
      </c>
      <c r="U16" s="7">
        <f t="shared" si="12"/>
        <v>0</v>
      </c>
      <c r="V16" s="7">
        <f t="shared" si="12"/>
        <v>0</v>
      </c>
      <c r="W16" s="7">
        <f t="shared" si="12"/>
        <v>0</v>
      </c>
      <c r="X16" s="7">
        <f t="shared" si="12"/>
        <v>0</v>
      </c>
      <c r="Y16" s="7">
        <f t="shared" si="12"/>
        <v>0</v>
      </c>
      <c r="Z16" s="7">
        <f t="shared" si="12"/>
        <v>0</v>
      </c>
      <c r="AA16" s="7">
        <f t="shared" si="12"/>
        <v>0</v>
      </c>
      <c r="AB16" s="7">
        <f t="shared" si="12"/>
        <v>0</v>
      </c>
      <c r="AC16" s="7">
        <f t="shared" si="13"/>
        <v>0</v>
      </c>
      <c r="AD16" s="7">
        <f t="shared" si="13"/>
        <v>0</v>
      </c>
      <c r="AE16" s="7">
        <f t="shared" si="13"/>
        <v>0</v>
      </c>
      <c r="AF16" s="7">
        <f t="shared" si="13"/>
        <v>0</v>
      </c>
      <c r="AG16" s="7">
        <f t="shared" si="13"/>
        <v>0</v>
      </c>
      <c r="AH16" s="7">
        <f t="shared" si="13"/>
        <v>0</v>
      </c>
      <c r="AI16" s="7">
        <f t="shared" si="13"/>
        <v>0</v>
      </c>
      <c r="AJ16" s="7">
        <f t="shared" si="13"/>
        <v>0</v>
      </c>
      <c r="AK16" s="7">
        <f t="shared" si="13"/>
        <v>0</v>
      </c>
      <c r="AL16" s="7">
        <f t="shared" si="13"/>
        <v>0</v>
      </c>
      <c r="AM16" s="7">
        <f t="shared" si="13"/>
        <v>0</v>
      </c>
      <c r="AN16" s="7">
        <f t="shared" si="13"/>
        <v>0</v>
      </c>
      <c r="AO16" s="7">
        <f t="shared" si="13"/>
        <v>0</v>
      </c>
    </row>
    <row r="17" spans="1:41" x14ac:dyDescent="0.35">
      <c r="A17" s="5" t="s">
        <v>16</v>
      </c>
      <c r="B17" s="5">
        <v>16</v>
      </c>
      <c r="C17" s="7">
        <v>663739</v>
      </c>
      <c r="D17" s="8">
        <v>0.49410000443500002</v>
      </c>
      <c r="E17" s="6">
        <f t="shared" si="0"/>
        <v>0.98820000887000004</v>
      </c>
      <c r="F17" s="132">
        <f t="shared" si="11"/>
        <v>0.1</v>
      </c>
      <c r="G17" s="128">
        <f t="shared" si="1"/>
        <v>0.594100004435</v>
      </c>
      <c r="H17" s="132">
        <f t="shared" si="11"/>
        <v>0.8</v>
      </c>
      <c r="I17" s="128">
        <f t="shared" si="9"/>
        <v>1.2941000044350002</v>
      </c>
      <c r="J17" s="7">
        <v>473021</v>
      </c>
      <c r="K17" s="7">
        <f t="shared" si="14"/>
        <v>190718</v>
      </c>
      <c r="L17" s="133">
        <f t="shared" si="10"/>
        <v>0.7126611514465776</v>
      </c>
      <c r="M17" s="7"/>
      <c r="N17" s="6">
        <f t="shared" si="3"/>
        <v>1.1941000044350001</v>
      </c>
      <c r="O17" s="6">
        <f t="shared" si="4"/>
        <v>1.2</v>
      </c>
      <c r="P17" s="7">
        <f t="shared" si="5"/>
        <v>17338.000000000004</v>
      </c>
      <c r="Q17" s="131" t="str">
        <f t="shared" si="6"/>
        <v/>
      </c>
      <c r="R17" s="7"/>
      <c r="S17" s="7">
        <f t="shared" si="12"/>
        <v>17338.000000000004</v>
      </c>
      <c r="T17" s="7">
        <f t="shared" si="12"/>
        <v>17338.000000000004</v>
      </c>
      <c r="U17" s="7">
        <f t="shared" si="12"/>
        <v>17338.000000000004</v>
      </c>
      <c r="V17" s="7">
        <f t="shared" si="12"/>
        <v>17338.000000000004</v>
      </c>
      <c r="W17" s="7">
        <f t="shared" si="12"/>
        <v>17338.000000000004</v>
      </c>
      <c r="X17" s="7">
        <f t="shared" si="12"/>
        <v>17338.000000000004</v>
      </c>
      <c r="Y17" s="7">
        <f t="shared" si="12"/>
        <v>17338.000000000004</v>
      </c>
      <c r="Z17" s="7">
        <f t="shared" si="12"/>
        <v>17338.000000000004</v>
      </c>
      <c r="AA17" s="7">
        <f t="shared" si="12"/>
        <v>17338.000000000004</v>
      </c>
      <c r="AB17" s="7">
        <f t="shared" si="12"/>
        <v>17338.000000000004</v>
      </c>
      <c r="AC17" s="7">
        <f t="shared" si="13"/>
        <v>17338.000000000004</v>
      </c>
      <c r="AD17" s="7">
        <f t="shared" si="13"/>
        <v>0</v>
      </c>
      <c r="AE17" s="7">
        <f t="shared" si="13"/>
        <v>0</v>
      </c>
      <c r="AF17" s="7">
        <f t="shared" si="13"/>
        <v>0</v>
      </c>
      <c r="AG17" s="7">
        <f t="shared" si="13"/>
        <v>0</v>
      </c>
      <c r="AH17" s="7">
        <f t="shared" si="13"/>
        <v>0</v>
      </c>
      <c r="AI17" s="7">
        <f t="shared" si="13"/>
        <v>0</v>
      </c>
      <c r="AJ17" s="7">
        <f t="shared" si="13"/>
        <v>0</v>
      </c>
      <c r="AK17" s="7">
        <f t="shared" si="13"/>
        <v>0</v>
      </c>
      <c r="AL17" s="7">
        <f t="shared" si="13"/>
        <v>0</v>
      </c>
      <c r="AM17" s="7">
        <f t="shared" si="13"/>
        <v>0</v>
      </c>
      <c r="AN17" s="7">
        <f t="shared" si="13"/>
        <v>0</v>
      </c>
      <c r="AO17" s="7">
        <f t="shared" si="13"/>
        <v>0</v>
      </c>
    </row>
    <row r="18" spans="1:41" s="125" customFormat="1" x14ac:dyDescent="0.35">
      <c r="A18" s="125" t="s">
        <v>201</v>
      </c>
      <c r="B18" s="125">
        <v>17</v>
      </c>
      <c r="C18" s="15">
        <v>-9999</v>
      </c>
      <c r="D18" s="15"/>
      <c r="E18" s="126"/>
      <c r="F18" s="126">
        <f t="shared" si="11"/>
        <v>0.1</v>
      </c>
      <c r="G18" s="126">
        <f t="shared" si="1"/>
        <v>0.1</v>
      </c>
      <c r="H18" s="126">
        <f t="shared" si="11"/>
        <v>0.8</v>
      </c>
      <c r="I18" s="126">
        <f t="shared" si="9"/>
        <v>0.8</v>
      </c>
      <c r="J18" s="124">
        <v>0</v>
      </c>
      <c r="K18" s="124">
        <f t="shared" si="14"/>
        <v>-9999</v>
      </c>
      <c r="L18" s="134">
        <f t="shared" si="10"/>
        <v>0</v>
      </c>
      <c r="M18" s="124"/>
      <c r="N18" s="126">
        <f t="shared" si="3"/>
        <v>0.70000000000000007</v>
      </c>
      <c r="O18" s="126">
        <f t="shared" si="4"/>
        <v>0.7</v>
      </c>
      <c r="P18" s="124">
        <f t="shared" si="5"/>
        <v>-1666.5000000000002</v>
      </c>
      <c r="Q18" s="124" t="str">
        <f t="shared" si="6"/>
        <v/>
      </c>
      <c r="R18" s="124"/>
      <c r="S18" s="124">
        <f t="shared" si="12"/>
        <v>-1666.5000000000002</v>
      </c>
      <c r="T18" s="124">
        <f t="shared" si="12"/>
        <v>-1666.5000000000002</v>
      </c>
      <c r="U18" s="124">
        <f t="shared" si="12"/>
        <v>-1666.5000000000002</v>
      </c>
      <c r="V18" s="124">
        <f t="shared" si="12"/>
        <v>-1666.5000000000002</v>
      </c>
      <c r="W18" s="124">
        <f t="shared" si="12"/>
        <v>-1666.5000000000002</v>
      </c>
      <c r="X18" s="124">
        <f t="shared" si="12"/>
        <v>-1666.5000000000002</v>
      </c>
      <c r="Y18" s="124">
        <f t="shared" si="12"/>
        <v>0</v>
      </c>
      <c r="Z18" s="124">
        <f t="shared" si="12"/>
        <v>0</v>
      </c>
      <c r="AA18" s="124">
        <f t="shared" si="12"/>
        <v>0</v>
      </c>
      <c r="AB18" s="124">
        <f t="shared" si="12"/>
        <v>0</v>
      </c>
      <c r="AC18" s="124">
        <f t="shared" si="13"/>
        <v>0</v>
      </c>
      <c r="AD18" s="124">
        <f t="shared" si="13"/>
        <v>0</v>
      </c>
      <c r="AE18" s="124">
        <f t="shared" si="13"/>
        <v>0</v>
      </c>
      <c r="AF18" s="124">
        <f t="shared" si="13"/>
        <v>0</v>
      </c>
      <c r="AG18" s="124">
        <f t="shared" si="13"/>
        <v>0</v>
      </c>
      <c r="AH18" s="124">
        <f t="shared" si="13"/>
        <v>0</v>
      </c>
      <c r="AI18" s="124">
        <f t="shared" si="13"/>
        <v>0</v>
      </c>
      <c r="AJ18" s="124">
        <f t="shared" si="13"/>
        <v>0</v>
      </c>
      <c r="AK18" s="124">
        <f t="shared" si="13"/>
        <v>0</v>
      </c>
      <c r="AL18" s="124">
        <f t="shared" si="13"/>
        <v>0</v>
      </c>
      <c r="AM18" s="124">
        <f t="shared" si="13"/>
        <v>0</v>
      </c>
      <c r="AN18" s="124">
        <f t="shared" si="13"/>
        <v>0</v>
      </c>
      <c r="AO18" s="124">
        <f t="shared" si="13"/>
        <v>0</v>
      </c>
    </row>
    <row r="19" spans="1:41" x14ac:dyDescent="0.35">
      <c r="A19" s="5" t="s">
        <v>17</v>
      </c>
      <c r="B19" s="5">
        <v>18</v>
      </c>
      <c r="C19" s="7">
        <v>167340</v>
      </c>
      <c r="D19" s="13">
        <v>0.453399986029</v>
      </c>
      <c r="E19" s="6">
        <f t="shared" ref="E19:E29" si="15">D19*2</f>
        <v>0.906799972058</v>
      </c>
      <c r="F19" s="132">
        <f t="shared" si="11"/>
        <v>0.1</v>
      </c>
      <c r="G19" s="128">
        <f t="shared" si="1"/>
        <v>0.55339998602899998</v>
      </c>
      <c r="H19" s="132">
        <f t="shared" si="11"/>
        <v>0.8</v>
      </c>
      <c r="I19" s="128">
        <f t="shared" si="9"/>
        <v>1.2533999860290002</v>
      </c>
      <c r="J19" s="7">
        <v>0</v>
      </c>
      <c r="K19" s="7">
        <f t="shared" si="14"/>
        <v>167340</v>
      </c>
      <c r="L19" s="133">
        <f t="shared" si="10"/>
        <v>0</v>
      </c>
      <c r="M19" s="7"/>
      <c r="N19" s="6">
        <f t="shared" si="3"/>
        <v>1.1533999860290001</v>
      </c>
      <c r="O19" s="6">
        <f t="shared" si="4"/>
        <v>1.2</v>
      </c>
      <c r="P19" s="7">
        <f t="shared" si="5"/>
        <v>15212.727272727276</v>
      </c>
      <c r="Q19" s="131" t="str">
        <f t="shared" si="6"/>
        <v/>
      </c>
      <c r="R19" s="7"/>
      <c r="S19" s="7">
        <f t="shared" si="12"/>
        <v>15212.727272727276</v>
      </c>
      <c r="T19" s="7">
        <f t="shared" si="12"/>
        <v>15212.727272727276</v>
      </c>
      <c r="U19" s="7">
        <f t="shared" si="12"/>
        <v>15212.727272727276</v>
      </c>
      <c r="V19" s="7">
        <f t="shared" si="12"/>
        <v>15212.727272727276</v>
      </c>
      <c r="W19" s="7">
        <f t="shared" si="12"/>
        <v>15212.727272727276</v>
      </c>
      <c r="X19" s="7">
        <f t="shared" si="12"/>
        <v>15212.727272727276</v>
      </c>
      <c r="Y19" s="7">
        <f t="shared" si="12"/>
        <v>15212.727272727276</v>
      </c>
      <c r="Z19" s="7">
        <f t="shared" si="12"/>
        <v>15212.727272727276</v>
      </c>
      <c r="AA19" s="7">
        <f t="shared" si="12"/>
        <v>15212.727272727276</v>
      </c>
      <c r="AB19" s="7">
        <f t="shared" si="12"/>
        <v>15212.727272727276</v>
      </c>
      <c r="AC19" s="7">
        <f t="shared" si="13"/>
        <v>15212.727272727276</v>
      </c>
      <c r="AD19" s="7">
        <f t="shared" si="13"/>
        <v>0</v>
      </c>
      <c r="AE19" s="7">
        <f t="shared" si="13"/>
        <v>0</v>
      </c>
      <c r="AF19" s="7">
        <f t="shared" si="13"/>
        <v>0</v>
      </c>
      <c r="AG19" s="7">
        <f t="shared" si="13"/>
        <v>0</v>
      </c>
      <c r="AH19" s="7">
        <f t="shared" si="13"/>
        <v>0</v>
      </c>
      <c r="AI19" s="7">
        <f t="shared" si="13"/>
        <v>0</v>
      </c>
      <c r="AJ19" s="7">
        <f t="shared" si="13"/>
        <v>0</v>
      </c>
      <c r="AK19" s="7">
        <f t="shared" si="13"/>
        <v>0</v>
      </c>
      <c r="AL19" s="7">
        <f t="shared" si="13"/>
        <v>0</v>
      </c>
      <c r="AM19" s="7">
        <f t="shared" si="13"/>
        <v>0</v>
      </c>
      <c r="AN19" s="7">
        <f t="shared" si="13"/>
        <v>0</v>
      </c>
      <c r="AO19" s="7">
        <f t="shared" si="13"/>
        <v>0</v>
      </c>
    </row>
    <row r="20" spans="1:41" x14ac:dyDescent="0.35">
      <c r="A20" s="5" t="s">
        <v>18</v>
      </c>
      <c r="B20" s="5">
        <v>19</v>
      </c>
      <c r="C20" s="7">
        <v>114245</v>
      </c>
      <c r="D20" s="8">
        <v>0.45879998803099997</v>
      </c>
      <c r="E20" s="6">
        <f t="shared" si="15"/>
        <v>0.91759997606199994</v>
      </c>
      <c r="F20" s="132">
        <f t="shared" si="11"/>
        <v>0.1</v>
      </c>
      <c r="G20" s="128">
        <f t="shared" si="1"/>
        <v>0.55879998803099995</v>
      </c>
      <c r="H20" s="132">
        <f t="shared" si="11"/>
        <v>0.8</v>
      </c>
      <c r="I20" s="128">
        <f t="shared" si="9"/>
        <v>1.2587999880309999</v>
      </c>
      <c r="J20" s="7">
        <v>0</v>
      </c>
      <c r="K20" s="7">
        <f t="shared" si="14"/>
        <v>114245</v>
      </c>
      <c r="L20" s="133">
        <f t="shared" si="10"/>
        <v>0</v>
      </c>
      <c r="M20" s="7"/>
      <c r="N20" s="6">
        <f t="shared" si="3"/>
        <v>1.1587999880309998</v>
      </c>
      <c r="O20" s="6">
        <f t="shared" si="4"/>
        <v>1.2</v>
      </c>
      <c r="P20" s="7">
        <f t="shared" si="5"/>
        <v>10385.909090909092</v>
      </c>
      <c r="Q20" s="131" t="str">
        <f t="shared" si="6"/>
        <v/>
      </c>
      <c r="R20" s="7"/>
      <c r="S20" s="7">
        <f t="shared" si="12"/>
        <v>10385.909090909092</v>
      </c>
      <c r="T20" s="7">
        <f t="shared" si="12"/>
        <v>10385.909090909092</v>
      </c>
      <c r="U20" s="7">
        <f t="shared" si="12"/>
        <v>10385.909090909092</v>
      </c>
      <c r="V20" s="7">
        <f t="shared" si="12"/>
        <v>10385.909090909092</v>
      </c>
      <c r="W20" s="7">
        <f t="shared" si="12"/>
        <v>10385.909090909092</v>
      </c>
      <c r="X20" s="7">
        <f t="shared" si="12"/>
        <v>10385.909090909092</v>
      </c>
      <c r="Y20" s="7">
        <f t="shared" si="12"/>
        <v>10385.909090909092</v>
      </c>
      <c r="Z20" s="7">
        <f t="shared" si="12"/>
        <v>10385.909090909092</v>
      </c>
      <c r="AA20" s="7">
        <f t="shared" si="12"/>
        <v>10385.909090909092</v>
      </c>
      <c r="AB20" s="7">
        <f t="shared" si="12"/>
        <v>10385.909090909092</v>
      </c>
      <c r="AC20" s="7">
        <f t="shared" si="13"/>
        <v>10385.909090909092</v>
      </c>
      <c r="AD20" s="7">
        <f t="shared" si="13"/>
        <v>0</v>
      </c>
      <c r="AE20" s="7">
        <f t="shared" si="13"/>
        <v>0</v>
      </c>
      <c r="AF20" s="7">
        <f t="shared" si="13"/>
        <v>0</v>
      </c>
      <c r="AG20" s="7">
        <f t="shared" si="13"/>
        <v>0</v>
      </c>
      <c r="AH20" s="7">
        <f t="shared" si="13"/>
        <v>0</v>
      </c>
      <c r="AI20" s="7">
        <f t="shared" si="13"/>
        <v>0</v>
      </c>
      <c r="AJ20" s="7">
        <f t="shared" si="13"/>
        <v>0</v>
      </c>
      <c r="AK20" s="7">
        <f t="shared" si="13"/>
        <v>0</v>
      </c>
      <c r="AL20" s="7">
        <f t="shared" si="13"/>
        <v>0</v>
      </c>
      <c r="AM20" s="7">
        <f t="shared" si="13"/>
        <v>0</v>
      </c>
      <c r="AN20" s="7">
        <f t="shared" si="13"/>
        <v>0</v>
      </c>
      <c r="AO20" s="7">
        <f t="shared" si="13"/>
        <v>0</v>
      </c>
    </row>
    <row r="21" spans="1:41" x14ac:dyDescent="0.35">
      <c r="A21" s="5" t="s">
        <v>19</v>
      </c>
      <c r="B21" s="5">
        <v>20</v>
      </c>
      <c r="C21" s="7">
        <v>545603</v>
      </c>
      <c r="D21" s="8">
        <v>0.45960000157399999</v>
      </c>
      <c r="E21" s="6">
        <f t="shared" si="15"/>
        <v>0.91920000314799999</v>
      </c>
      <c r="F21" s="132">
        <f t="shared" si="11"/>
        <v>0.1</v>
      </c>
      <c r="G21" s="128">
        <f t="shared" si="1"/>
        <v>0.55960000157400003</v>
      </c>
      <c r="H21" s="132">
        <f t="shared" si="11"/>
        <v>0.8</v>
      </c>
      <c r="I21" s="128">
        <f t="shared" si="9"/>
        <v>1.2596000015740001</v>
      </c>
      <c r="J21" s="7">
        <v>197039</v>
      </c>
      <c r="K21" s="7">
        <f t="shared" si="14"/>
        <v>348564</v>
      </c>
      <c r="L21" s="133">
        <f t="shared" si="10"/>
        <v>0.36113987643029821</v>
      </c>
      <c r="M21" s="7"/>
      <c r="N21" s="6">
        <f t="shared" si="3"/>
        <v>1.159600001574</v>
      </c>
      <c r="O21" s="6">
        <f t="shared" si="4"/>
        <v>1.2</v>
      </c>
      <c r="P21" s="7">
        <f t="shared" si="5"/>
        <v>31687.636363636368</v>
      </c>
      <c r="Q21" s="131" t="str">
        <f t="shared" si="6"/>
        <v/>
      </c>
      <c r="R21" s="7"/>
      <c r="S21" s="7">
        <f t="shared" si="12"/>
        <v>31687.636363636368</v>
      </c>
      <c r="T21" s="7">
        <f t="shared" si="12"/>
        <v>31687.636363636368</v>
      </c>
      <c r="U21" s="7">
        <f t="shared" si="12"/>
        <v>31687.636363636368</v>
      </c>
      <c r="V21" s="7">
        <f t="shared" si="12"/>
        <v>31687.636363636368</v>
      </c>
      <c r="W21" s="7">
        <f t="shared" si="12"/>
        <v>31687.636363636368</v>
      </c>
      <c r="X21" s="7">
        <f t="shared" si="12"/>
        <v>31687.636363636368</v>
      </c>
      <c r="Y21" s="7">
        <f t="shared" si="12"/>
        <v>31687.636363636368</v>
      </c>
      <c r="Z21" s="7">
        <f t="shared" si="12"/>
        <v>31687.636363636368</v>
      </c>
      <c r="AA21" s="7">
        <f t="shared" si="12"/>
        <v>31687.636363636368</v>
      </c>
      <c r="AB21" s="7">
        <f t="shared" si="12"/>
        <v>31687.636363636368</v>
      </c>
      <c r="AC21" s="7">
        <f t="shared" si="13"/>
        <v>31687.636363636368</v>
      </c>
      <c r="AD21" s="7">
        <f t="shared" si="13"/>
        <v>0</v>
      </c>
      <c r="AE21" s="7">
        <f t="shared" si="13"/>
        <v>0</v>
      </c>
      <c r="AF21" s="7">
        <f t="shared" si="13"/>
        <v>0</v>
      </c>
      <c r="AG21" s="7">
        <f t="shared" si="13"/>
        <v>0</v>
      </c>
      <c r="AH21" s="7">
        <f t="shared" si="13"/>
        <v>0</v>
      </c>
      <c r="AI21" s="7">
        <f t="shared" si="13"/>
        <v>0</v>
      </c>
      <c r="AJ21" s="7">
        <f t="shared" si="13"/>
        <v>0</v>
      </c>
      <c r="AK21" s="7">
        <f t="shared" si="13"/>
        <v>0</v>
      </c>
      <c r="AL21" s="7">
        <f t="shared" si="13"/>
        <v>0</v>
      </c>
      <c r="AM21" s="7">
        <f t="shared" si="13"/>
        <v>0</v>
      </c>
      <c r="AN21" s="7">
        <f t="shared" si="13"/>
        <v>0</v>
      </c>
      <c r="AO21" s="7">
        <f t="shared" si="13"/>
        <v>0</v>
      </c>
    </row>
    <row r="22" spans="1:41" x14ac:dyDescent="0.35">
      <c r="A22" s="5" t="s">
        <v>20</v>
      </c>
      <c r="B22" s="5">
        <v>21</v>
      </c>
      <c r="C22" s="7">
        <v>13704</v>
      </c>
      <c r="D22" s="8">
        <v>0.46770000457799998</v>
      </c>
      <c r="E22" s="6">
        <f t="shared" si="15"/>
        <v>0.93540000915599997</v>
      </c>
      <c r="F22" s="132">
        <f t="shared" si="11"/>
        <v>0.1</v>
      </c>
      <c r="G22" s="128">
        <f t="shared" si="1"/>
        <v>0.56770000457799996</v>
      </c>
      <c r="H22" s="132">
        <f t="shared" si="11"/>
        <v>0.8</v>
      </c>
      <c r="I22" s="128">
        <f t="shared" si="9"/>
        <v>1.267700004578</v>
      </c>
      <c r="J22" s="7">
        <v>0</v>
      </c>
      <c r="K22" s="7">
        <f t="shared" si="14"/>
        <v>13704</v>
      </c>
      <c r="L22" s="133">
        <f t="shared" si="10"/>
        <v>0</v>
      </c>
      <c r="M22" s="7"/>
      <c r="N22" s="6">
        <f t="shared" si="3"/>
        <v>1.1677000045779999</v>
      </c>
      <c r="O22" s="6">
        <f t="shared" si="4"/>
        <v>1.2</v>
      </c>
      <c r="P22" s="7">
        <f t="shared" si="5"/>
        <v>1245.818181818182</v>
      </c>
      <c r="Q22" s="131" t="str">
        <f t="shared" si="6"/>
        <v/>
      </c>
      <c r="R22" s="7"/>
      <c r="S22" s="7">
        <f t="shared" ref="S22:AB31" si="16">IF($P22=0,0,IF(S$1&lt;=$O22,$P22,0))</f>
        <v>1245.818181818182</v>
      </c>
      <c r="T22" s="7">
        <f t="shared" si="16"/>
        <v>1245.818181818182</v>
      </c>
      <c r="U22" s="7">
        <f t="shared" si="16"/>
        <v>1245.818181818182</v>
      </c>
      <c r="V22" s="7">
        <f t="shared" si="16"/>
        <v>1245.818181818182</v>
      </c>
      <c r="W22" s="7">
        <f t="shared" si="16"/>
        <v>1245.818181818182</v>
      </c>
      <c r="X22" s="7">
        <f t="shared" si="16"/>
        <v>1245.818181818182</v>
      </c>
      <c r="Y22" s="7">
        <f t="shared" si="16"/>
        <v>1245.818181818182</v>
      </c>
      <c r="Z22" s="7">
        <f t="shared" si="16"/>
        <v>1245.818181818182</v>
      </c>
      <c r="AA22" s="7">
        <f t="shared" si="16"/>
        <v>1245.818181818182</v>
      </c>
      <c r="AB22" s="7">
        <f t="shared" si="16"/>
        <v>1245.818181818182</v>
      </c>
      <c r="AC22" s="7">
        <f t="shared" ref="AC22:AO31" si="17">IF($P22=0,0,IF(AC$1&lt;=$O22,$P22,0))</f>
        <v>1245.818181818182</v>
      </c>
      <c r="AD22" s="7">
        <f t="shared" si="17"/>
        <v>0</v>
      </c>
      <c r="AE22" s="7">
        <f t="shared" si="17"/>
        <v>0</v>
      </c>
      <c r="AF22" s="7">
        <f t="shared" si="17"/>
        <v>0</v>
      </c>
      <c r="AG22" s="7">
        <f t="shared" si="17"/>
        <v>0</v>
      </c>
      <c r="AH22" s="7">
        <f t="shared" si="17"/>
        <v>0</v>
      </c>
      <c r="AI22" s="7">
        <f t="shared" si="17"/>
        <v>0</v>
      </c>
      <c r="AJ22" s="7">
        <f t="shared" si="17"/>
        <v>0</v>
      </c>
      <c r="AK22" s="7">
        <f t="shared" si="17"/>
        <v>0</v>
      </c>
      <c r="AL22" s="7">
        <f t="shared" si="17"/>
        <v>0</v>
      </c>
      <c r="AM22" s="7">
        <f t="shared" si="17"/>
        <v>0</v>
      </c>
      <c r="AN22" s="7">
        <f t="shared" si="17"/>
        <v>0</v>
      </c>
      <c r="AO22" s="7">
        <f t="shared" si="17"/>
        <v>0</v>
      </c>
    </row>
    <row r="23" spans="1:41" x14ac:dyDescent="0.35">
      <c r="A23" s="5" t="s">
        <v>21</v>
      </c>
      <c r="B23" s="5">
        <v>22</v>
      </c>
      <c r="C23" s="7">
        <v>3210101</v>
      </c>
      <c r="D23" s="13">
        <v>0.46680000424399998</v>
      </c>
      <c r="E23" s="6">
        <f t="shared" si="15"/>
        <v>0.93360000848799995</v>
      </c>
      <c r="F23" s="132">
        <f t="shared" si="11"/>
        <v>0.1</v>
      </c>
      <c r="G23" s="128">
        <f t="shared" si="1"/>
        <v>0.56680000424400001</v>
      </c>
      <c r="H23" s="132">
        <f t="shared" si="11"/>
        <v>0.8</v>
      </c>
      <c r="I23" s="128">
        <f t="shared" si="9"/>
        <v>1.266800004244</v>
      </c>
      <c r="J23" s="7">
        <v>3210101</v>
      </c>
      <c r="K23" s="7">
        <f t="shared" si="14"/>
        <v>0</v>
      </c>
      <c r="L23" s="133">
        <f t="shared" si="10"/>
        <v>1</v>
      </c>
      <c r="M23" s="7"/>
      <c r="N23" s="6">
        <f t="shared" si="3"/>
        <v>1.1668000042439999</v>
      </c>
      <c r="O23" s="6">
        <f t="shared" si="4"/>
        <v>1.2</v>
      </c>
      <c r="P23" s="7">
        <f t="shared" si="5"/>
        <v>0</v>
      </c>
      <c r="Q23" s="131" t="str">
        <f t="shared" si="6"/>
        <v/>
      </c>
      <c r="R23" s="7"/>
      <c r="S23" s="7">
        <f t="shared" si="16"/>
        <v>0</v>
      </c>
      <c r="T23" s="7">
        <f t="shared" si="16"/>
        <v>0</v>
      </c>
      <c r="U23" s="7">
        <f t="shared" si="16"/>
        <v>0</v>
      </c>
      <c r="V23" s="7">
        <f t="shared" si="16"/>
        <v>0</v>
      </c>
      <c r="W23" s="7">
        <f t="shared" si="16"/>
        <v>0</v>
      </c>
      <c r="X23" s="7">
        <f t="shared" si="16"/>
        <v>0</v>
      </c>
      <c r="Y23" s="7">
        <f t="shared" si="16"/>
        <v>0</v>
      </c>
      <c r="Z23" s="7">
        <f t="shared" si="16"/>
        <v>0</v>
      </c>
      <c r="AA23" s="7">
        <f t="shared" si="16"/>
        <v>0</v>
      </c>
      <c r="AB23" s="7">
        <f t="shared" si="16"/>
        <v>0</v>
      </c>
      <c r="AC23" s="7">
        <f t="shared" si="17"/>
        <v>0</v>
      </c>
      <c r="AD23" s="7">
        <f t="shared" si="17"/>
        <v>0</v>
      </c>
      <c r="AE23" s="7">
        <f t="shared" si="17"/>
        <v>0</v>
      </c>
      <c r="AF23" s="7">
        <f t="shared" si="17"/>
        <v>0</v>
      </c>
      <c r="AG23" s="7">
        <f t="shared" si="17"/>
        <v>0</v>
      </c>
      <c r="AH23" s="7">
        <f t="shared" si="17"/>
        <v>0</v>
      </c>
      <c r="AI23" s="7">
        <f t="shared" si="17"/>
        <v>0</v>
      </c>
      <c r="AJ23" s="7">
        <f t="shared" si="17"/>
        <v>0</v>
      </c>
      <c r="AK23" s="7">
        <f t="shared" si="17"/>
        <v>0</v>
      </c>
      <c r="AL23" s="7">
        <f t="shared" si="17"/>
        <v>0</v>
      </c>
      <c r="AM23" s="7">
        <f t="shared" si="17"/>
        <v>0</v>
      </c>
      <c r="AN23" s="7">
        <f t="shared" si="17"/>
        <v>0</v>
      </c>
      <c r="AO23" s="7">
        <f t="shared" si="17"/>
        <v>0</v>
      </c>
    </row>
    <row r="24" spans="1:41" x14ac:dyDescent="0.35">
      <c r="A24" s="5" t="s">
        <v>22</v>
      </c>
      <c r="B24" s="5">
        <v>23</v>
      </c>
      <c r="C24" s="7">
        <v>8144653</v>
      </c>
      <c r="D24" s="13">
        <v>0.45919999480200002</v>
      </c>
      <c r="E24" s="6">
        <f t="shared" si="15"/>
        <v>0.91839998960400004</v>
      </c>
      <c r="F24" s="132">
        <f t="shared" si="11"/>
        <v>0.1</v>
      </c>
      <c r="G24" s="128">
        <f t="shared" si="1"/>
        <v>0.559199994802</v>
      </c>
      <c r="H24" s="132">
        <f t="shared" si="11"/>
        <v>0.8</v>
      </c>
      <c r="I24" s="128">
        <f t="shared" si="9"/>
        <v>1.2591999948020001</v>
      </c>
      <c r="J24" s="7">
        <v>8144653</v>
      </c>
      <c r="K24" s="7">
        <f t="shared" si="14"/>
        <v>0</v>
      </c>
      <c r="L24" s="133">
        <f t="shared" si="10"/>
        <v>1</v>
      </c>
      <c r="M24" s="7"/>
      <c r="N24" s="6">
        <f t="shared" si="3"/>
        <v>1.159199994802</v>
      </c>
      <c r="O24" s="6">
        <f t="shared" si="4"/>
        <v>1.2</v>
      </c>
      <c r="P24" s="7">
        <f t="shared" si="5"/>
        <v>0</v>
      </c>
      <c r="Q24" s="131" t="str">
        <f t="shared" si="6"/>
        <v/>
      </c>
      <c r="R24" s="7"/>
      <c r="S24" s="7">
        <f t="shared" si="16"/>
        <v>0</v>
      </c>
      <c r="T24" s="7">
        <f t="shared" si="16"/>
        <v>0</v>
      </c>
      <c r="U24" s="7">
        <f t="shared" si="16"/>
        <v>0</v>
      </c>
      <c r="V24" s="7">
        <f t="shared" si="16"/>
        <v>0</v>
      </c>
      <c r="W24" s="7">
        <f t="shared" si="16"/>
        <v>0</v>
      </c>
      <c r="X24" s="7">
        <f t="shared" si="16"/>
        <v>0</v>
      </c>
      <c r="Y24" s="7">
        <f t="shared" si="16"/>
        <v>0</v>
      </c>
      <c r="Z24" s="7">
        <f t="shared" si="16"/>
        <v>0</v>
      </c>
      <c r="AA24" s="7">
        <f t="shared" si="16"/>
        <v>0</v>
      </c>
      <c r="AB24" s="7">
        <f t="shared" si="16"/>
        <v>0</v>
      </c>
      <c r="AC24" s="7">
        <f t="shared" si="17"/>
        <v>0</v>
      </c>
      <c r="AD24" s="7">
        <f t="shared" si="17"/>
        <v>0</v>
      </c>
      <c r="AE24" s="7">
        <f t="shared" si="17"/>
        <v>0</v>
      </c>
      <c r="AF24" s="7">
        <f t="shared" si="17"/>
        <v>0</v>
      </c>
      <c r="AG24" s="7">
        <f t="shared" si="17"/>
        <v>0</v>
      </c>
      <c r="AH24" s="7">
        <f t="shared" si="17"/>
        <v>0</v>
      </c>
      <c r="AI24" s="7">
        <f t="shared" si="17"/>
        <v>0</v>
      </c>
      <c r="AJ24" s="7">
        <f t="shared" si="17"/>
        <v>0</v>
      </c>
      <c r="AK24" s="7">
        <f t="shared" si="17"/>
        <v>0</v>
      </c>
      <c r="AL24" s="7">
        <f t="shared" si="17"/>
        <v>0</v>
      </c>
      <c r="AM24" s="7">
        <f t="shared" si="17"/>
        <v>0</v>
      </c>
      <c r="AN24" s="7">
        <f t="shared" si="17"/>
        <v>0</v>
      </c>
      <c r="AO24" s="7">
        <f t="shared" si="17"/>
        <v>0</v>
      </c>
    </row>
    <row r="25" spans="1:41" x14ac:dyDescent="0.35">
      <c r="A25" s="5" t="s">
        <v>23</v>
      </c>
      <c r="B25" s="5">
        <v>24</v>
      </c>
      <c r="C25" s="7">
        <v>124681</v>
      </c>
      <c r="D25" s="8">
        <v>0.47400000691400002</v>
      </c>
      <c r="E25" s="6">
        <f t="shared" si="15"/>
        <v>0.94800001382800003</v>
      </c>
      <c r="F25" s="132">
        <f t="shared" si="11"/>
        <v>0.1</v>
      </c>
      <c r="G25" s="128">
        <f t="shared" si="1"/>
        <v>0.57400000691399999</v>
      </c>
      <c r="H25" s="132">
        <f t="shared" si="11"/>
        <v>0.8</v>
      </c>
      <c r="I25" s="128">
        <f t="shared" si="9"/>
        <v>1.2740000069140001</v>
      </c>
      <c r="J25" s="7">
        <v>0</v>
      </c>
      <c r="K25" s="7">
        <f t="shared" si="14"/>
        <v>124681</v>
      </c>
      <c r="L25" s="133">
        <f t="shared" si="10"/>
        <v>0</v>
      </c>
      <c r="M25" s="7"/>
      <c r="N25" s="6">
        <f t="shared" si="3"/>
        <v>1.174000006914</v>
      </c>
      <c r="O25" s="6">
        <f t="shared" si="4"/>
        <v>1.2</v>
      </c>
      <c r="P25" s="7">
        <f t="shared" si="5"/>
        <v>11334.636363636366</v>
      </c>
      <c r="Q25" s="131" t="str">
        <f t="shared" si="6"/>
        <v/>
      </c>
      <c r="R25" s="7"/>
      <c r="S25" s="7">
        <f t="shared" si="16"/>
        <v>11334.636363636366</v>
      </c>
      <c r="T25" s="7">
        <f t="shared" si="16"/>
        <v>11334.636363636366</v>
      </c>
      <c r="U25" s="7">
        <f t="shared" si="16"/>
        <v>11334.636363636366</v>
      </c>
      <c r="V25" s="7">
        <f t="shared" si="16"/>
        <v>11334.636363636366</v>
      </c>
      <c r="W25" s="7">
        <f t="shared" si="16"/>
        <v>11334.636363636366</v>
      </c>
      <c r="X25" s="7">
        <f t="shared" si="16"/>
        <v>11334.636363636366</v>
      </c>
      <c r="Y25" s="7">
        <f t="shared" si="16"/>
        <v>11334.636363636366</v>
      </c>
      <c r="Z25" s="7">
        <f t="shared" si="16"/>
        <v>11334.636363636366</v>
      </c>
      <c r="AA25" s="7">
        <f t="shared" si="16"/>
        <v>11334.636363636366</v>
      </c>
      <c r="AB25" s="7">
        <f t="shared" si="16"/>
        <v>11334.636363636366</v>
      </c>
      <c r="AC25" s="7">
        <f t="shared" si="17"/>
        <v>11334.636363636366</v>
      </c>
      <c r="AD25" s="7">
        <f t="shared" si="17"/>
        <v>0</v>
      </c>
      <c r="AE25" s="7">
        <f t="shared" si="17"/>
        <v>0</v>
      </c>
      <c r="AF25" s="7">
        <f t="shared" si="17"/>
        <v>0</v>
      </c>
      <c r="AG25" s="7">
        <f t="shared" si="17"/>
        <v>0</v>
      </c>
      <c r="AH25" s="7">
        <f t="shared" si="17"/>
        <v>0</v>
      </c>
      <c r="AI25" s="7">
        <f t="shared" si="17"/>
        <v>0</v>
      </c>
      <c r="AJ25" s="7">
        <f t="shared" si="17"/>
        <v>0</v>
      </c>
      <c r="AK25" s="7">
        <f t="shared" si="17"/>
        <v>0</v>
      </c>
      <c r="AL25" s="7">
        <f t="shared" si="17"/>
        <v>0</v>
      </c>
      <c r="AM25" s="7">
        <f t="shared" si="17"/>
        <v>0</v>
      </c>
      <c r="AN25" s="7">
        <f t="shared" si="17"/>
        <v>0</v>
      </c>
      <c r="AO25" s="7">
        <f t="shared" si="17"/>
        <v>0</v>
      </c>
    </row>
    <row r="26" spans="1:41" x14ac:dyDescent="0.35">
      <c r="A26" s="5" t="s">
        <v>24</v>
      </c>
      <c r="B26" s="5">
        <v>25</v>
      </c>
      <c r="C26" s="7">
        <v>72011</v>
      </c>
      <c r="D26" s="8">
        <v>0.49759998917600001</v>
      </c>
      <c r="E26" s="6">
        <f t="shared" si="15"/>
        <v>0.99519997835200003</v>
      </c>
      <c r="F26" s="132">
        <f t="shared" si="11"/>
        <v>0.1</v>
      </c>
      <c r="G26" s="128">
        <f t="shared" si="1"/>
        <v>0.59759998917599999</v>
      </c>
      <c r="H26" s="132">
        <f t="shared" si="11"/>
        <v>0.8</v>
      </c>
      <c r="I26" s="128">
        <f t="shared" si="9"/>
        <v>1.2975999891760002</v>
      </c>
      <c r="J26" s="7">
        <v>0</v>
      </c>
      <c r="K26" s="7">
        <f t="shared" si="14"/>
        <v>72011</v>
      </c>
      <c r="L26" s="133">
        <f t="shared" si="10"/>
        <v>0</v>
      </c>
      <c r="M26" s="7"/>
      <c r="N26" s="6">
        <f t="shared" si="3"/>
        <v>1.1975999891760001</v>
      </c>
      <c r="O26" s="6">
        <f t="shared" si="4"/>
        <v>1.2</v>
      </c>
      <c r="P26" s="7">
        <f t="shared" si="5"/>
        <v>6546.4545454545469</v>
      </c>
      <c r="Q26" s="131" t="str">
        <f t="shared" si="6"/>
        <v/>
      </c>
      <c r="R26" s="7"/>
      <c r="S26" s="7">
        <f t="shared" si="16"/>
        <v>6546.4545454545469</v>
      </c>
      <c r="T26" s="7">
        <f t="shared" si="16"/>
        <v>6546.4545454545469</v>
      </c>
      <c r="U26" s="7">
        <f t="shared" si="16"/>
        <v>6546.4545454545469</v>
      </c>
      <c r="V26" s="7">
        <f t="shared" si="16"/>
        <v>6546.4545454545469</v>
      </c>
      <c r="W26" s="7">
        <f t="shared" si="16"/>
        <v>6546.4545454545469</v>
      </c>
      <c r="X26" s="7">
        <f t="shared" si="16"/>
        <v>6546.4545454545469</v>
      </c>
      <c r="Y26" s="7">
        <f t="shared" si="16"/>
        <v>6546.4545454545469</v>
      </c>
      <c r="Z26" s="7">
        <f t="shared" si="16"/>
        <v>6546.4545454545469</v>
      </c>
      <c r="AA26" s="7">
        <f t="shared" si="16"/>
        <v>6546.4545454545469</v>
      </c>
      <c r="AB26" s="7">
        <f t="shared" si="16"/>
        <v>6546.4545454545469</v>
      </c>
      <c r="AC26" s="7">
        <f t="shared" si="17"/>
        <v>6546.4545454545469</v>
      </c>
      <c r="AD26" s="7">
        <f t="shared" si="17"/>
        <v>0</v>
      </c>
      <c r="AE26" s="7">
        <f t="shared" si="17"/>
        <v>0</v>
      </c>
      <c r="AF26" s="7">
        <f t="shared" si="17"/>
        <v>0</v>
      </c>
      <c r="AG26" s="7">
        <f t="shared" si="17"/>
        <v>0</v>
      </c>
      <c r="AH26" s="7">
        <f t="shared" si="17"/>
        <v>0</v>
      </c>
      <c r="AI26" s="7">
        <f t="shared" si="17"/>
        <v>0</v>
      </c>
      <c r="AJ26" s="7">
        <f t="shared" si="17"/>
        <v>0</v>
      </c>
      <c r="AK26" s="7">
        <f t="shared" si="17"/>
        <v>0</v>
      </c>
      <c r="AL26" s="7">
        <f t="shared" si="17"/>
        <v>0</v>
      </c>
      <c r="AM26" s="7">
        <f t="shared" si="17"/>
        <v>0</v>
      </c>
      <c r="AN26" s="7">
        <f t="shared" si="17"/>
        <v>0</v>
      </c>
      <c r="AO26" s="7">
        <f t="shared" si="17"/>
        <v>0</v>
      </c>
    </row>
    <row r="27" spans="1:41" x14ac:dyDescent="0.35">
      <c r="A27" s="5" t="s">
        <v>25</v>
      </c>
      <c r="B27" s="5">
        <v>26</v>
      </c>
      <c r="C27" s="7">
        <v>79423</v>
      </c>
      <c r="D27" s="8">
        <v>0.50379997491799999</v>
      </c>
      <c r="E27" s="6">
        <f t="shared" si="15"/>
        <v>1.007599949836</v>
      </c>
      <c r="F27" s="132">
        <f t="shared" si="11"/>
        <v>0.1</v>
      </c>
      <c r="G27" s="128">
        <f t="shared" si="1"/>
        <v>0.60379997491799997</v>
      </c>
      <c r="H27" s="132">
        <f t="shared" si="11"/>
        <v>0.8</v>
      </c>
      <c r="I27" s="128">
        <f t="shared" si="9"/>
        <v>1.303799974918</v>
      </c>
      <c r="J27" s="7">
        <v>0</v>
      </c>
      <c r="K27" s="7">
        <f t="shared" si="14"/>
        <v>79423</v>
      </c>
      <c r="L27" s="133">
        <f t="shared" si="10"/>
        <v>0</v>
      </c>
      <c r="M27" s="7"/>
      <c r="N27" s="6">
        <f t="shared" si="3"/>
        <v>1.2037999749179999</v>
      </c>
      <c r="O27" s="6">
        <f t="shared" si="4"/>
        <v>1.2</v>
      </c>
      <c r="P27" s="7">
        <f t="shared" si="5"/>
        <v>7220.2727272727288</v>
      </c>
      <c r="Q27" s="131" t="str">
        <f t="shared" si="6"/>
        <v/>
      </c>
      <c r="R27" s="7"/>
      <c r="S27" s="7">
        <f t="shared" si="16"/>
        <v>7220.2727272727288</v>
      </c>
      <c r="T27" s="7">
        <f t="shared" si="16"/>
        <v>7220.2727272727288</v>
      </c>
      <c r="U27" s="7">
        <f t="shared" si="16"/>
        <v>7220.2727272727288</v>
      </c>
      <c r="V27" s="7">
        <f t="shared" si="16"/>
        <v>7220.2727272727288</v>
      </c>
      <c r="W27" s="7">
        <f t="shared" si="16"/>
        <v>7220.2727272727288</v>
      </c>
      <c r="X27" s="7">
        <f t="shared" si="16"/>
        <v>7220.2727272727288</v>
      </c>
      <c r="Y27" s="7">
        <f t="shared" si="16"/>
        <v>7220.2727272727288</v>
      </c>
      <c r="Z27" s="7">
        <f t="shared" si="16"/>
        <v>7220.2727272727288</v>
      </c>
      <c r="AA27" s="7">
        <f t="shared" si="16"/>
        <v>7220.2727272727288</v>
      </c>
      <c r="AB27" s="7">
        <f t="shared" si="16"/>
        <v>7220.2727272727288</v>
      </c>
      <c r="AC27" s="7">
        <f t="shared" si="17"/>
        <v>7220.2727272727288</v>
      </c>
      <c r="AD27" s="7">
        <f t="shared" si="17"/>
        <v>0</v>
      </c>
      <c r="AE27" s="7">
        <f t="shared" si="17"/>
        <v>0</v>
      </c>
      <c r="AF27" s="7">
        <f t="shared" si="17"/>
        <v>0</v>
      </c>
      <c r="AG27" s="7">
        <f t="shared" si="17"/>
        <v>0</v>
      </c>
      <c r="AH27" s="7">
        <f t="shared" si="17"/>
        <v>0</v>
      </c>
      <c r="AI27" s="7">
        <f t="shared" si="17"/>
        <v>0</v>
      </c>
      <c r="AJ27" s="7">
        <f t="shared" si="17"/>
        <v>0</v>
      </c>
      <c r="AK27" s="7">
        <f t="shared" si="17"/>
        <v>0</v>
      </c>
      <c r="AL27" s="7">
        <f t="shared" si="17"/>
        <v>0</v>
      </c>
      <c r="AM27" s="7">
        <f t="shared" si="17"/>
        <v>0</v>
      </c>
      <c r="AN27" s="7">
        <f t="shared" si="17"/>
        <v>0</v>
      </c>
      <c r="AO27" s="7">
        <f t="shared" si="17"/>
        <v>0</v>
      </c>
    </row>
    <row r="28" spans="1:41" x14ac:dyDescent="0.35">
      <c r="A28" s="5" t="s">
        <v>26</v>
      </c>
      <c r="B28" s="5">
        <v>27</v>
      </c>
      <c r="C28" s="7">
        <v>40406</v>
      </c>
      <c r="D28" s="8">
        <v>0.506099998951</v>
      </c>
      <c r="E28" s="6">
        <f t="shared" si="15"/>
        <v>1.012199997902</v>
      </c>
      <c r="F28" s="132">
        <f t="shared" si="11"/>
        <v>0.1</v>
      </c>
      <c r="G28" s="128">
        <f t="shared" si="1"/>
        <v>0.60609999895099997</v>
      </c>
      <c r="H28" s="132">
        <f t="shared" si="11"/>
        <v>0.8</v>
      </c>
      <c r="I28" s="128">
        <f t="shared" si="9"/>
        <v>1.306099998951</v>
      </c>
      <c r="J28" s="7">
        <v>0</v>
      </c>
      <c r="K28" s="7">
        <f t="shared" si="14"/>
        <v>40406</v>
      </c>
      <c r="L28" s="133">
        <f t="shared" si="10"/>
        <v>0</v>
      </c>
      <c r="M28" s="7"/>
      <c r="N28" s="6">
        <f t="shared" si="3"/>
        <v>1.206099998951</v>
      </c>
      <c r="O28" s="6">
        <f t="shared" si="4"/>
        <v>1.2</v>
      </c>
      <c r="P28" s="7">
        <f t="shared" si="5"/>
        <v>3673.2727272727279</v>
      </c>
      <c r="Q28" s="131" t="str">
        <f t="shared" si="6"/>
        <v/>
      </c>
      <c r="R28" s="7"/>
      <c r="S28" s="7">
        <f t="shared" si="16"/>
        <v>3673.2727272727279</v>
      </c>
      <c r="T28" s="7">
        <f t="shared" si="16"/>
        <v>3673.2727272727279</v>
      </c>
      <c r="U28" s="7">
        <f t="shared" si="16"/>
        <v>3673.2727272727279</v>
      </c>
      <c r="V28" s="7">
        <f t="shared" si="16"/>
        <v>3673.2727272727279</v>
      </c>
      <c r="W28" s="7">
        <f t="shared" si="16"/>
        <v>3673.2727272727279</v>
      </c>
      <c r="X28" s="7">
        <f t="shared" si="16"/>
        <v>3673.2727272727279</v>
      </c>
      <c r="Y28" s="7">
        <f t="shared" si="16"/>
        <v>3673.2727272727279</v>
      </c>
      <c r="Z28" s="7">
        <f t="shared" si="16"/>
        <v>3673.2727272727279</v>
      </c>
      <c r="AA28" s="7">
        <f t="shared" si="16"/>
        <v>3673.2727272727279</v>
      </c>
      <c r="AB28" s="7">
        <f t="shared" si="16"/>
        <v>3673.2727272727279</v>
      </c>
      <c r="AC28" s="7">
        <f t="shared" si="17"/>
        <v>3673.2727272727279</v>
      </c>
      <c r="AD28" s="7">
        <f t="shared" si="17"/>
        <v>0</v>
      </c>
      <c r="AE28" s="7">
        <f t="shared" si="17"/>
        <v>0</v>
      </c>
      <c r="AF28" s="7">
        <f t="shared" si="17"/>
        <v>0</v>
      </c>
      <c r="AG28" s="7">
        <f t="shared" si="17"/>
        <v>0</v>
      </c>
      <c r="AH28" s="7">
        <f t="shared" si="17"/>
        <v>0</v>
      </c>
      <c r="AI28" s="7">
        <f t="shared" si="17"/>
        <v>0</v>
      </c>
      <c r="AJ28" s="7">
        <f t="shared" si="17"/>
        <v>0</v>
      </c>
      <c r="AK28" s="7">
        <f t="shared" si="17"/>
        <v>0</v>
      </c>
      <c r="AL28" s="7">
        <f t="shared" si="17"/>
        <v>0</v>
      </c>
      <c r="AM28" s="7">
        <f t="shared" si="17"/>
        <v>0</v>
      </c>
      <c r="AN28" s="7">
        <f t="shared" si="17"/>
        <v>0</v>
      </c>
      <c r="AO28" s="7">
        <f t="shared" si="17"/>
        <v>0</v>
      </c>
    </row>
    <row r="29" spans="1:41" x14ac:dyDescent="0.35">
      <c r="A29" s="5" t="s">
        <v>27</v>
      </c>
      <c r="B29" s="5">
        <v>28</v>
      </c>
      <c r="C29" s="7">
        <v>394493</v>
      </c>
      <c r="D29" s="8">
        <v>0.50959998369199999</v>
      </c>
      <c r="E29" s="6">
        <f t="shared" si="15"/>
        <v>1.019199967384</v>
      </c>
      <c r="F29" s="132">
        <f t="shared" si="11"/>
        <v>0.1</v>
      </c>
      <c r="G29" s="128">
        <f t="shared" si="1"/>
        <v>0.60959998369199997</v>
      </c>
      <c r="H29" s="132">
        <f t="shared" si="11"/>
        <v>0.8</v>
      </c>
      <c r="I29" s="128">
        <f t="shared" si="9"/>
        <v>1.309599983692</v>
      </c>
      <c r="J29" s="7">
        <v>73841</v>
      </c>
      <c r="K29" s="7">
        <f t="shared" si="14"/>
        <v>320652</v>
      </c>
      <c r="L29" s="133">
        <f t="shared" si="10"/>
        <v>0.18717949367922879</v>
      </c>
      <c r="M29" s="7"/>
      <c r="N29" s="6">
        <f t="shared" si="3"/>
        <v>1.2095999836919999</v>
      </c>
      <c r="O29" s="6">
        <f t="shared" si="4"/>
        <v>1.2</v>
      </c>
      <c r="P29" s="7">
        <f t="shared" si="5"/>
        <v>29150.181818181823</v>
      </c>
      <c r="Q29" s="131" t="str">
        <f t="shared" si="6"/>
        <v/>
      </c>
      <c r="R29" s="7"/>
      <c r="S29" s="7">
        <f t="shared" si="16"/>
        <v>29150.181818181823</v>
      </c>
      <c r="T29" s="7">
        <f t="shared" si="16"/>
        <v>29150.181818181823</v>
      </c>
      <c r="U29" s="7">
        <f t="shared" si="16"/>
        <v>29150.181818181823</v>
      </c>
      <c r="V29" s="7">
        <f t="shared" si="16"/>
        <v>29150.181818181823</v>
      </c>
      <c r="W29" s="7">
        <f t="shared" si="16"/>
        <v>29150.181818181823</v>
      </c>
      <c r="X29" s="7">
        <f t="shared" si="16"/>
        <v>29150.181818181823</v>
      </c>
      <c r="Y29" s="7">
        <f t="shared" si="16"/>
        <v>29150.181818181823</v>
      </c>
      <c r="Z29" s="7">
        <f t="shared" si="16"/>
        <v>29150.181818181823</v>
      </c>
      <c r="AA29" s="7">
        <f t="shared" si="16"/>
        <v>29150.181818181823</v>
      </c>
      <c r="AB29" s="7">
        <f t="shared" si="16"/>
        <v>29150.181818181823</v>
      </c>
      <c r="AC29" s="7">
        <f t="shared" si="17"/>
        <v>29150.181818181823</v>
      </c>
      <c r="AD29" s="7">
        <f t="shared" si="17"/>
        <v>0</v>
      </c>
      <c r="AE29" s="7">
        <f t="shared" si="17"/>
        <v>0</v>
      </c>
      <c r="AF29" s="7">
        <f t="shared" si="17"/>
        <v>0</v>
      </c>
      <c r="AG29" s="7">
        <f t="shared" si="17"/>
        <v>0</v>
      </c>
      <c r="AH29" s="7">
        <f t="shared" si="17"/>
        <v>0</v>
      </c>
      <c r="AI29" s="7">
        <f t="shared" si="17"/>
        <v>0</v>
      </c>
      <c r="AJ29" s="7">
        <f t="shared" si="17"/>
        <v>0</v>
      </c>
      <c r="AK29" s="7">
        <f t="shared" si="17"/>
        <v>0</v>
      </c>
      <c r="AL29" s="7">
        <f t="shared" si="17"/>
        <v>0</v>
      </c>
      <c r="AM29" s="7">
        <f t="shared" si="17"/>
        <v>0</v>
      </c>
      <c r="AN29" s="7">
        <f t="shared" si="17"/>
        <v>0</v>
      </c>
      <c r="AO29" s="7">
        <f t="shared" si="17"/>
        <v>0</v>
      </c>
    </row>
    <row r="30" spans="1:41" s="125" customFormat="1" x14ac:dyDescent="0.35">
      <c r="A30" s="125" t="s">
        <v>223</v>
      </c>
      <c r="B30" s="125">
        <v>29</v>
      </c>
      <c r="C30" s="15">
        <v>-9999</v>
      </c>
      <c r="D30" s="15"/>
      <c r="E30" s="126"/>
      <c r="F30" s="126">
        <f t="shared" si="11"/>
        <v>0.1</v>
      </c>
      <c r="G30" s="126">
        <f t="shared" si="1"/>
        <v>0.1</v>
      </c>
      <c r="H30" s="126">
        <f t="shared" si="11"/>
        <v>0.8</v>
      </c>
      <c r="I30" s="126">
        <f t="shared" si="9"/>
        <v>0.8</v>
      </c>
      <c r="J30" s="124">
        <v>0</v>
      </c>
      <c r="K30" s="124">
        <f t="shared" si="14"/>
        <v>-9999</v>
      </c>
      <c r="L30" s="134">
        <f t="shared" si="10"/>
        <v>0</v>
      </c>
      <c r="M30" s="124"/>
      <c r="N30" s="126">
        <f t="shared" si="3"/>
        <v>0.70000000000000007</v>
      </c>
      <c r="O30" s="126">
        <f t="shared" si="4"/>
        <v>0.7</v>
      </c>
      <c r="P30" s="124">
        <f t="shared" si="5"/>
        <v>-1666.5000000000002</v>
      </c>
      <c r="Q30" s="124" t="str">
        <f t="shared" si="6"/>
        <v/>
      </c>
      <c r="R30" s="124"/>
      <c r="S30" s="124">
        <f t="shared" si="16"/>
        <v>-1666.5000000000002</v>
      </c>
      <c r="T30" s="124">
        <f t="shared" si="16"/>
        <v>-1666.5000000000002</v>
      </c>
      <c r="U30" s="124">
        <f t="shared" si="16"/>
        <v>-1666.5000000000002</v>
      </c>
      <c r="V30" s="124">
        <f t="shared" si="16"/>
        <v>-1666.5000000000002</v>
      </c>
      <c r="W30" s="124">
        <f t="shared" si="16"/>
        <v>-1666.5000000000002</v>
      </c>
      <c r="X30" s="124">
        <f t="shared" si="16"/>
        <v>-1666.5000000000002</v>
      </c>
      <c r="Y30" s="124">
        <f t="shared" si="16"/>
        <v>0</v>
      </c>
      <c r="Z30" s="124">
        <f t="shared" si="16"/>
        <v>0</v>
      </c>
      <c r="AA30" s="124">
        <f t="shared" si="16"/>
        <v>0</v>
      </c>
      <c r="AB30" s="124">
        <f t="shared" si="16"/>
        <v>0</v>
      </c>
      <c r="AC30" s="124">
        <f t="shared" si="17"/>
        <v>0</v>
      </c>
      <c r="AD30" s="124">
        <f t="shared" si="17"/>
        <v>0</v>
      </c>
      <c r="AE30" s="124">
        <f t="shared" si="17"/>
        <v>0</v>
      </c>
      <c r="AF30" s="124">
        <f t="shared" si="17"/>
        <v>0</v>
      </c>
      <c r="AG30" s="124">
        <f t="shared" si="17"/>
        <v>0</v>
      </c>
      <c r="AH30" s="124">
        <f t="shared" si="17"/>
        <v>0</v>
      </c>
      <c r="AI30" s="124">
        <f t="shared" si="17"/>
        <v>0</v>
      </c>
      <c r="AJ30" s="124">
        <f t="shared" si="17"/>
        <v>0</v>
      </c>
      <c r="AK30" s="124">
        <f t="shared" si="17"/>
        <v>0</v>
      </c>
      <c r="AL30" s="124">
        <f t="shared" si="17"/>
        <v>0</v>
      </c>
      <c r="AM30" s="124">
        <f t="shared" si="17"/>
        <v>0</v>
      </c>
      <c r="AN30" s="124">
        <f t="shared" si="17"/>
        <v>0</v>
      </c>
      <c r="AO30" s="124">
        <f t="shared" si="17"/>
        <v>0</v>
      </c>
    </row>
    <row r="31" spans="1:41" x14ac:dyDescent="0.35">
      <c r="A31" s="5" t="s">
        <v>28</v>
      </c>
      <c r="B31" s="5">
        <v>30</v>
      </c>
      <c r="C31" s="7">
        <v>1280842</v>
      </c>
      <c r="D31" s="8">
        <v>0.55830001831099996</v>
      </c>
      <c r="E31" s="6">
        <f t="shared" ref="E31:E62" si="18">D31*2</f>
        <v>1.1166000366219999</v>
      </c>
      <c r="F31" s="132">
        <f t="shared" si="11"/>
        <v>0.1</v>
      </c>
      <c r="G31" s="128">
        <f t="shared" si="1"/>
        <v>0.65830001831099993</v>
      </c>
      <c r="H31" s="132">
        <f t="shared" si="11"/>
        <v>0.8</v>
      </c>
      <c r="I31" s="128">
        <f t="shared" si="9"/>
        <v>1.3583000183110001</v>
      </c>
      <c r="J31" s="7">
        <v>0</v>
      </c>
      <c r="K31" s="7">
        <f t="shared" si="14"/>
        <v>1280842</v>
      </c>
      <c r="L31" s="133">
        <f t="shared" si="10"/>
        <v>0</v>
      </c>
      <c r="M31" s="7"/>
      <c r="N31" s="6">
        <f t="shared" si="3"/>
        <v>1.258300018311</v>
      </c>
      <c r="O31" s="6">
        <f t="shared" si="4"/>
        <v>1.3</v>
      </c>
      <c r="P31" s="7">
        <f t="shared" si="5"/>
        <v>106736.83333333333</v>
      </c>
      <c r="Q31" s="131" t="str">
        <f t="shared" si="6"/>
        <v/>
      </c>
      <c r="R31" s="7"/>
      <c r="S31" s="7">
        <f t="shared" si="16"/>
        <v>106736.83333333333</v>
      </c>
      <c r="T31" s="7">
        <f t="shared" si="16"/>
        <v>106736.83333333333</v>
      </c>
      <c r="U31" s="7">
        <f t="shared" si="16"/>
        <v>106736.83333333333</v>
      </c>
      <c r="V31" s="7">
        <f t="shared" si="16"/>
        <v>106736.83333333333</v>
      </c>
      <c r="W31" s="7">
        <f t="shared" si="16"/>
        <v>106736.83333333333</v>
      </c>
      <c r="X31" s="7">
        <f t="shared" si="16"/>
        <v>106736.83333333333</v>
      </c>
      <c r="Y31" s="7">
        <f t="shared" si="16"/>
        <v>106736.83333333333</v>
      </c>
      <c r="Z31" s="7">
        <f t="shared" si="16"/>
        <v>106736.83333333333</v>
      </c>
      <c r="AA31" s="7">
        <f t="shared" si="16"/>
        <v>106736.83333333333</v>
      </c>
      <c r="AB31" s="7">
        <f t="shared" si="16"/>
        <v>106736.83333333333</v>
      </c>
      <c r="AC31" s="7">
        <f t="shared" si="17"/>
        <v>106736.83333333333</v>
      </c>
      <c r="AD31" s="7">
        <f t="shared" si="17"/>
        <v>106736.83333333333</v>
      </c>
      <c r="AE31" s="7">
        <f t="shared" si="17"/>
        <v>0</v>
      </c>
      <c r="AF31" s="7">
        <f t="shared" si="17"/>
        <v>0</v>
      </c>
      <c r="AG31" s="7">
        <f t="shared" si="17"/>
        <v>0</v>
      </c>
      <c r="AH31" s="7">
        <f t="shared" si="17"/>
        <v>0</v>
      </c>
      <c r="AI31" s="7">
        <f t="shared" si="17"/>
        <v>0</v>
      </c>
      <c r="AJ31" s="7">
        <f t="shared" si="17"/>
        <v>0</v>
      </c>
      <c r="AK31" s="7">
        <f t="shared" si="17"/>
        <v>0</v>
      </c>
      <c r="AL31" s="7">
        <f t="shared" si="17"/>
        <v>0</v>
      </c>
      <c r="AM31" s="7">
        <f t="shared" si="17"/>
        <v>0</v>
      </c>
      <c r="AN31" s="7">
        <f t="shared" si="17"/>
        <v>0</v>
      </c>
      <c r="AO31" s="7">
        <f t="shared" si="17"/>
        <v>0</v>
      </c>
    </row>
    <row r="32" spans="1:41" x14ac:dyDescent="0.35">
      <c r="A32" s="5" t="s">
        <v>29</v>
      </c>
      <c r="B32" s="5">
        <v>31</v>
      </c>
      <c r="C32" s="7">
        <v>143784</v>
      </c>
      <c r="D32" s="8">
        <v>0.58249998092699995</v>
      </c>
      <c r="E32" s="6">
        <f t="shared" si="18"/>
        <v>1.1649999618539999</v>
      </c>
      <c r="F32" s="132">
        <f t="shared" si="11"/>
        <v>0.1</v>
      </c>
      <c r="G32" s="128">
        <f t="shared" si="1"/>
        <v>0.68249998092699993</v>
      </c>
      <c r="H32" s="132">
        <f t="shared" si="11"/>
        <v>0.8</v>
      </c>
      <c r="I32" s="128">
        <f t="shared" si="9"/>
        <v>1.382499980927</v>
      </c>
      <c r="J32" s="7">
        <v>0</v>
      </c>
      <c r="K32" s="7">
        <f t="shared" si="14"/>
        <v>143784</v>
      </c>
      <c r="L32" s="133">
        <f t="shared" si="10"/>
        <v>0</v>
      </c>
      <c r="M32" s="7"/>
      <c r="N32" s="6">
        <f t="shared" si="3"/>
        <v>1.2824999809269999</v>
      </c>
      <c r="O32" s="6">
        <f t="shared" si="4"/>
        <v>1.3</v>
      </c>
      <c r="P32" s="7">
        <f t="shared" si="5"/>
        <v>11982</v>
      </c>
      <c r="Q32" s="131" t="str">
        <f t="shared" si="6"/>
        <v/>
      </c>
      <c r="R32" s="7"/>
      <c r="S32" s="7">
        <f t="shared" ref="S32:AB41" si="19">IF($P32=0,0,IF(S$1&lt;=$O32,$P32,0))</f>
        <v>11982</v>
      </c>
      <c r="T32" s="7">
        <f t="shared" si="19"/>
        <v>11982</v>
      </c>
      <c r="U32" s="7">
        <f t="shared" si="19"/>
        <v>11982</v>
      </c>
      <c r="V32" s="7">
        <f t="shared" si="19"/>
        <v>11982</v>
      </c>
      <c r="W32" s="7">
        <f t="shared" si="19"/>
        <v>11982</v>
      </c>
      <c r="X32" s="7">
        <f t="shared" si="19"/>
        <v>11982</v>
      </c>
      <c r="Y32" s="7">
        <f t="shared" si="19"/>
        <v>11982</v>
      </c>
      <c r="Z32" s="7">
        <f t="shared" si="19"/>
        <v>11982</v>
      </c>
      <c r="AA32" s="7">
        <f t="shared" si="19"/>
        <v>11982</v>
      </c>
      <c r="AB32" s="7">
        <f t="shared" si="19"/>
        <v>11982</v>
      </c>
      <c r="AC32" s="7">
        <f t="shared" ref="AC32:AO41" si="20">IF($P32=0,0,IF(AC$1&lt;=$O32,$P32,0))</f>
        <v>11982</v>
      </c>
      <c r="AD32" s="7">
        <f t="shared" si="20"/>
        <v>11982</v>
      </c>
      <c r="AE32" s="7">
        <f t="shared" si="20"/>
        <v>0</v>
      </c>
      <c r="AF32" s="7">
        <f t="shared" si="20"/>
        <v>0</v>
      </c>
      <c r="AG32" s="7">
        <f t="shared" si="20"/>
        <v>0</v>
      </c>
      <c r="AH32" s="7">
        <f t="shared" si="20"/>
        <v>0</v>
      </c>
      <c r="AI32" s="7">
        <f t="shared" si="20"/>
        <v>0</v>
      </c>
      <c r="AJ32" s="7">
        <f t="shared" si="20"/>
        <v>0</v>
      </c>
      <c r="AK32" s="7">
        <f t="shared" si="20"/>
        <v>0</v>
      </c>
      <c r="AL32" s="7">
        <f t="shared" si="20"/>
        <v>0</v>
      </c>
      <c r="AM32" s="7">
        <f t="shared" si="20"/>
        <v>0</v>
      </c>
      <c r="AN32" s="7">
        <f t="shared" si="20"/>
        <v>0</v>
      </c>
      <c r="AO32" s="7">
        <f t="shared" si="20"/>
        <v>0</v>
      </c>
    </row>
    <row r="33" spans="1:41" x14ac:dyDescent="0.35">
      <c r="A33" s="5" t="s">
        <v>30</v>
      </c>
      <c r="B33" s="5">
        <v>32</v>
      </c>
      <c r="C33" s="7">
        <v>106856</v>
      </c>
      <c r="D33" s="8">
        <v>0.54869997501400003</v>
      </c>
      <c r="E33" s="6">
        <f t="shared" si="18"/>
        <v>1.0973999500280001</v>
      </c>
      <c r="F33" s="132">
        <f t="shared" si="11"/>
        <v>0.1</v>
      </c>
      <c r="G33" s="128">
        <f t="shared" si="1"/>
        <v>0.64869997501400001</v>
      </c>
      <c r="H33" s="132">
        <f t="shared" si="11"/>
        <v>0.8</v>
      </c>
      <c r="I33" s="128">
        <f t="shared" si="9"/>
        <v>1.3486999750140001</v>
      </c>
      <c r="J33" s="7">
        <v>0</v>
      </c>
      <c r="K33" s="7">
        <f t="shared" si="14"/>
        <v>106856</v>
      </c>
      <c r="L33" s="133">
        <f t="shared" si="10"/>
        <v>0</v>
      </c>
      <c r="M33" s="7"/>
      <c r="N33" s="6">
        <f t="shared" si="3"/>
        <v>1.248699975014</v>
      </c>
      <c r="O33" s="6">
        <f t="shared" si="4"/>
        <v>1.2</v>
      </c>
      <c r="P33" s="7">
        <f t="shared" si="5"/>
        <v>9714.1818181818198</v>
      </c>
      <c r="Q33" s="131" t="str">
        <f t="shared" si="6"/>
        <v/>
      </c>
      <c r="R33" s="7"/>
      <c r="S33" s="7">
        <f t="shared" si="19"/>
        <v>9714.1818181818198</v>
      </c>
      <c r="T33" s="7">
        <f t="shared" si="19"/>
        <v>9714.1818181818198</v>
      </c>
      <c r="U33" s="7">
        <f t="shared" si="19"/>
        <v>9714.1818181818198</v>
      </c>
      <c r="V33" s="7">
        <f t="shared" si="19"/>
        <v>9714.1818181818198</v>
      </c>
      <c r="W33" s="7">
        <f t="shared" si="19"/>
        <v>9714.1818181818198</v>
      </c>
      <c r="X33" s="7">
        <f t="shared" si="19"/>
        <v>9714.1818181818198</v>
      </c>
      <c r="Y33" s="7">
        <f t="shared" si="19"/>
        <v>9714.1818181818198</v>
      </c>
      <c r="Z33" s="7">
        <f t="shared" si="19"/>
        <v>9714.1818181818198</v>
      </c>
      <c r="AA33" s="7">
        <f t="shared" si="19"/>
        <v>9714.1818181818198</v>
      </c>
      <c r="AB33" s="7">
        <f t="shared" si="19"/>
        <v>9714.1818181818198</v>
      </c>
      <c r="AC33" s="7">
        <f t="shared" si="20"/>
        <v>9714.1818181818198</v>
      </c>
      <c r="AD33" s="7">
        <f t="shared" si="20"/>
        <v>0</v>
      </c>
      <c r="AE33" s="7">
        <f t="shared" si="20"/>
        <v>0</v>
      </c>
      <c r="AF33" s="7">
        <f t="shared" si="20"/>
        <v>0</v>
      </c>
      <c r="AG33" s="7">
        <f t="shared" si="20"/>
        <v>0</v>
      </c>
      <c r="AH33" s="7">
        <f t="shared" si="20"/>
        <v>0</v>
      </c>
      <c r="AI33" s="7">
        <f t="shared" si="20"/>
        <v>0</v>
      </c>
      <c r="AJ33" s="7">
        <f t="shared" si="20"/>
        <v>0</v>
      </c>
      <c r="AK33" s="7">
        <f t="shared" si="20"/>
        <v>0</v>
      </c>
      <c r="AL33" s="7">
        <f t="shared" si="20"/>
        <v>0</v>
      </c>
      <c r="AM33" s="7">
        <f t="shared" si="20"/>
        <v>0</v>
      </c>
      <c r="AN33" s="7">
        <f t="shared" si="20"/>
        <v>0</v>
      </c>
      <c r="AO33" s="7">
        <f t="shared" si="20"/>
        <v>0</v>
      </c>
    </row>
    <row r="34" spans="1:41" x14ac:dyDescent="0.35">
      <c r="A34" s="5" t="s">
        <v>31</v>
      </c>
      <c r="B34" s="5">
        <v>33</v>
      </c>
      <c r="C34" s="7">
        <v>18884</v>
      </c>
      <c r="D34" s="8">
        <v>0.648599982262</v>
      </c>
      <c r="E34" s="6">
        <f t="shared" si="18"/>
        <v>1.297199964524</v>
      </c>
      <c r="F34" s="132">
        <f t="shared" si="11"/>
        <v>0.1</v>
      </c>
      <c r="G34" s="128">
        <f t="shared" ref="G34:G65" si="21">D34+F34</f>
        <v>0.74859998226199997</v>
      </c>
      <c r="H34" s="132">
        <f t="shared" si="11"/>
        <v>0.8</v>
      </c>
      <c r="I34" s="128">
        <f t="shared" si="9"/>
        <v>1.4485999822619999</v>
      </c>
      <c r="J34" s="7">
        <v>0</v>
      </c>
      <c r="K34" s="7">
        <f t="shared" si="14"/>
        <v>18884</v>
      </c>
      <c r="L34" s="133">
        <f t="shared" si="10"/>
        <v>0</v>
      </c>
      <c r="M34" s="7"/>
      <c r="N34" s="6">
        <f t="shared" ref="N34:N65" si="22">I34-F34</f>
        <v>1.3485999822619998</v>
      </c>
      <c r="O34" s="6">
        <f t="shared" ref="O34:O65" si="23">ROUND(I34-F34,1)</f>
        <v>1.3</v>
      </c>
      <c r="P34" s="7">
        <f t="shared" ref="P34:P65" si="24">K34/((O34/0.1)-1)</f>
        <v>1573.6666666666667</v>
      </c>
      <c r="Q34" s="131" t="str">
        <f t="shared" ref="Q34:Q65" si="25">IF(SUM(S34:AO34)=K34,"","check")</f>
        <v/>
      </c>
      <c r="R34" s="7"/>
      <c r="S34" s="7">
        <f t="shared" si="19"/>
        <v>1573.6666666666667</v>
      </c>
      <c r="T34" s="7">
        <f t="shared" si="19"/>
        <v>1573.6666666666667</v>
      </c>
      <c r="U34" s="7">
        <f t="shared" si="19"/>
        <v>1573.6666666666667</v>
      </c>
      <c r="V34" s="7">
        <f t="shared" si="19"/>
        <v>1573.6666666666667</v>
      </c>
      <c r="W34" s="7">
        <f t="shared" si="19"/>
        <v>1573.6666666666667</v>
      </c>
      <c r="X34" s="7">
        <f t="shared" si="19"/>
        <v>1573.6666666666667</v>
      </c>
      <c r="Y34" s="7">
        <f t="shared" si="19"/>
        <v>1573.6666666666667</v>
      </c>
      <c r="Z34" s="7">
        <f t="shared" si="19"/>
        <v>1573.6666666666667</v>
      </c>
      <c r="AA34" s="7">
        <f t="shared" si="19"/>
        <v>1573.6666666666667</v>
      </c>
      <c r="AB34" s="7">
        <f t="shared" si="19"/>
        <v>1573.6666666666667</v>
      </c>
      <c r="AC34" s="7">
        <f t="shared" si="20"/>
        <v>1573.6666666666667</v>
      </c>
      <c r="AD34" s="7">
        <f t="shared" si="20"/>
        <v>1573.6666666666667</v>
      </c>
      <c r="AE34" s="7">
        <f t="shared" si="20"/>
        <v>0</v>
      </c>
      <c r="AF34" s="7">
        <f t="shared" si="20"/>
        <v>0</v>
      </c>
      <c r="AG34" s="7">
        <f t="shared" si="20"/>
        <v>0</v>
      </c>
      <c r="AH34" s="7">
        <f t="shared" si="20"/>
        <v>0</v>
      </c>
      <c r="AI34" s="7">
        <f t="shared" si="20"/>
        <v>0</v>
      </c>
      <c r="AJ34" s="7">
        <f t="shared" si="20"/>
        <v>0</v>
      </c>
      <c r="AK34" s="7">
        <f t="shared" si="20"/>
        <v>0</v>
      </c>
      <c r="AL34" s="7">
        <f t="shared" si="20"/>
        <v>0</v>
      </c>
      <c r="AM34" s="7">
        <f t="shared" si="20"/>
        <v>0</v>
      </c>
      <c r="AN34" s="7">
        <f t="shared" si="20"/>
        <v>0</v>
      </c>
      <c r="AO34" s="7">
        <f t="shared" si="20"/>
        <v>0</v>
      </c>
    </row>
    <row r="35" spans="1:41" x14ac:dyDescent="0.35">
      <c r="A35" s="5" t="s">
        <v>32</v>
      </c>
      <c r="B35" s="5">
        <v>34</v>
      </c>
      <c r="C35" s="7">
        <v>184613</v>
      </c>
      <c r="D35" s="8">
        <v>0.65100002288799996</v>
      </c>
      <c r="E35" s="6">
        <f t="shared" si="18"/>
        <v>1.3020000457759999</v>
      </c>
      <c r="F35" s="132">
        <f t="shared" si="11"/>
        <v>0.1</v>
      </c>
      <c r="G35" s="128">
        <f t="shared" si="21"/>
        <v>0.75100002288799994</v>
      </c>
      <c r="H35" s="132">
        <f t="shared" si="11"/>
        <v>0.8</v>
      </c>
      <c r="I35" s="128">
        <f t="shared" si="9"/>
        <v>1.451000022888</v>
      </c>
      <c r="J35" s="7">
        <v>0</v>
      </c>
      <c r="K35" s="7">
        <f t="shared" si="14"/>
        <v>184613</v>
      </c>
      <c r="L35" s="133">
        <f t="shared" si="10"/>
        <v>0</v>
      </c>
      <c r="M35" s="7"/>
      <c r="N35" s="6">
        <f t="shared" si="22"/>
        <v>1.3510000228879999</v>
      </c>
      <c r="O35" s="6">
        <f t="shared" si="23"/>
        <v>1.4</v>
      </c>
      <c r="P35" s="7">
        <f t="shared" si="24"/>
        <v>14201.000000000002</v>
      </c>
      <c r="Q35" s="131" t="str">
        <f t="shared" si="25"/>
        <v/>
      </c>
      <c r="R35" s="7"/>
      <c r="S35" s="7">
        <f t="shared" si="19"/>
        <v>14201.000000000002</v>
      </c>
      <c r="T35" s="7">
        <f t="shared" si="19"/>
        <v>14201.000000000002</v>
      </c>
      <c r="U35" s="7">
        <f t="shared" si="19"/>
        <v>14201.000000000002</v>
      </c>
      <c r="V35" s="7">
        <f t="shared" si="19"/>
        <v>14201.000000000002</v>
      </c>
      <c r="W35" s="7">
        <f t="shared" si="19"/>
        <v>14201.000000000002</v>
      </c>
      <c r="X35" s="7">
        <f t="shared" si="19"/>
        <v>14201.000000000002</v>
      </c>
      <c r="Y35" s="7">
        <f t="shared" si="19"/>
        <v>14201.000000000002</v>
      </c>
      <c r="Z35" s="7">
        <f t="shared" si="19"/>
        <v>14201.000000000002</v>
      </c>
      <c r="AA35" s="7">
        <f t="shared" si="19"/>
        <v>14201.000000000002</v>
      </c>
      <c r="AB35" s="7">
        <f t="shared" si="19"/>
        <v>14201.000000000002</v>
      </c>
      <c r="AC35" s="7">
        <f t="shared" si="20"/>
        <v>14201.000000000002</v>
      </c>
      <c r="AD35" s="7">
        <f t="shared" si="20"/>
        <v>14201.000000000002</v>
      </c>
      <c r="AE35" s="7">
        <f t="shared" si="20"/>
        <v>14201.000000000002</v>
      </c>
      <c r="AF35" s="7">
        <f t="shared" si="20"/>
        <v>0</v>
      </c>
      <c r="AG35" s="7">
        <f t="shared" si="20"/>
        <v>0</v>
      </c>
      <c r="AH35" s="7">
        <f t="shared" si="20"/>
        <v>0</v>
      </c>
      <c r="AI35" s="7">
        <f t="shared" si="20"/>
        <v>0</v>
      </c>
      <c r="AJ35" s="7">
        <f t="shared" si="20"/>
        <v>0</v>
      </c>
      <c r="AK35" s="7">
        <f t="shared" si="20"/>
        <v>0</v>
      </c>
      <c r="AL35" s="7">
        <f t="shared" si="20"/>
        <v>0</v>
      </c>
      <c r="AM35" s="7">
        <f t="shared" si="20"/>
        <v>0</v>
      </c>
      <c r="AN35" s="7">
        <f t="shared" si="20"/>
        <v>0</v>
      </c>
      <c r="AO35" s="7">
        <f t="shared" si="20"/>
        <v>0</v>
      </c>
    </row>
    <row r="36" spans="1:41" x14ac:dyDescent="0.35">
      <c r="A36" s="5" t="s">
        <v>33</v>
      </c>
      <c r="B36" s="5">
        <v>35</v>
      </c>
      <c r="C36" s="7">
        <v>254842</v>
      </c>
      <c r="D36" s="8">
        <v>0.68669998645800001</v>
      </c>
      <c r="E36" s="6">
        <f t="shared" si="18"/>
        <v>1.373399972916</v>
      </c>
      <c r="F36" s="132">
        <f t="shared" si="11"/>
        <v>0.1</v>
      </c>
      <c r="G36" s="128">
        <f t="shared" si="21"/>
        <v>0.78669998645799999</v>
      </c>
      <c r="H36" s="132">
        <f t="shared" si="11"/>
        <v>0.8</v>
      </c>
      <c r="I36" s="128">
        <f t="shared" si="9"/>
        <v>1.4866999864579999</v>
      </c>
      <c r="J36" s="7">
        <v>50765</v>
      </c>
      <c r="K36" s="7">
        <f t="shared" si="14"/>
        <v>204077</v>
      </c>
      <c r="L36" s="133">
        <f t="shared" si="10"/>
        <v>0.19920185840638513</v>
      </c>
      <c r="M36" s="7"/>
      <c r="N36" s="6">
        <f t="shared" si="22"/>
        <v>1.3866999864579999</v>
      </c>
      <c r="O36" s="6">
        <f t="shared" si="23"/>
        <v>1.4</v>
      </c>
      <c r="P36" s="7">
        <f t="shared" si="24"/>
        <v>15698.230769230771</v>
      </c>
      <c r="Q36" s="131" t="str">
        <f t="shared" si="25"/>
        <v/>
      </c>
      <c r="R36" s="7"/>
      <c r="S36" s="7">
        <f t="shared" si="19"/>
        <v>15698.230769230771</v>
      </c>
      <c r="T36" s="7">
        <f t="shared" si="19"/>
        <v>15698.230769230771</v>
      </c>
      <c r="U36" s="7">
        <f t="shared" si="19"/>
        <v>15698.230769230771</v>
      </c>
      <c r="V36" s="7">
        <f t="shared" si="19"/>
        <v>15698.230769230771</v>
      </c>
      <c r="W36" s="7">
        <f t="shared" si="19"/>
        <v>15698.230769230771</v>
      </c>
      <c r="X36" s="7">
        <f t="shared" si="19"/>
        <v>15698.230769230771</v>
      </c>
      <c r="Y36" s="7">
        <f t="shared" si="19"/>
        <v>15698.230769230771</v>
      </c>
      <c r="Z36" s="7">
        <f t="shared" si="19"/>
        <v>15698.230769230771</v>
      </c>
      <c r="AA36" s="7">
        <f t="shared" si="19"/>
        <v>15698.230769230771</v>
      </c>
      <c r="AB36" s="7">
        <f t="shared" si="19"/>
        <v>15698.230769230771</v>
      </c>
      <c r="AC36" s="7">
        <f t="shared" si="20"/>
        <v>15698.230769230771</v>
      </c>
      <c r="AD36" s="7">
        <f t="shared" si="20"/>
        <v>15698.230769230771</v>
      </c>
      <c r="AE36" s="7">
        <f t="shared" si="20"/>
        <v>15698.230769230771</v>
      </c>
      <c r="AF36" s="7">
        <f t="shared" si="20"/>
        <v>0</v>
      </c>
      <c r="AG36" s="7">
        <f t="shared" si="20"/>
        <v>0</v>
      </c>
      <c r="AH36" s="7">
        <f t="shared" si="20"/>
        <v>0</v>
      </c>
      <c r="AI36" s="7">
        <f t="shared" si="20"/>
        <v>0</v>
      </c>
      <c r="AJ36" s="7">
        <f t="shared" si="20"/>
        <v>0</v>
      </c>
      <c r="AK36" s="7">
        <f t="shared" si="20"/>
        <v>0</v>
      </c>
      <c r="AL36" s="7">
        <f t="shared" si="20"/>
        <v>0</v>
      </c>
      <c r="AM36" s="7">
        <f t="shared" si="20"/>
        <v>0</v>
      </c>
      <c r="AN36" s="7">
        <f t="shared" si="20"/>
        <v>0</v>
      </c>
      <c r="AO36" s="7">
        <f t="shared" si="20"/>
        <v>0</v>
      </c>
    </row>
    <row r="37" spans="1:41" x14ac:dyDescent="0.35">
      <c r="A37" s="5" t="s">
        <v>34</v>
      </c>
      <c r="B37" s="5">
        <v>36</v>
      </c>
      <c r="C37" s="7">
        <v>3112477</v>
      </c>
      <c r="D37" s="8">
        <v>0.76569998264299999</v>
      </c>
      <c r="E37" s="6">
        <f t="shared" si="18"/>
        <v>1.531399965286</v>
      </c>
      <c r="F37" s="132">
        <f t="shared" si="11"/>
        <v>0.1</v>
      </c>
      <c r="G37" s="128">
        <f t="shared" si="21"/>
        <v>0.86569998264299997</v>
      </c>
      <c r="H37" s="132">
        <f t="shared" si="11"/>
        <v>0.8</v>
      </c>
      <c r="I37" s="128">
        <f t="shared" si="9"/>
        <v>1.565699982643</v>
      </c>
      <c r="J37" s="7">
        <v>1238620</v>
      </c>
      <c r="K37" s="7">
        <f t="shared" si="14"/>
        <v>1873857</v>
      </c>
      <c r="L37" s="133">
        <f t="shared" si="10"/>
        <v>0.39795314150112593</v>
      </c>
      <c r="M37" s="7"/>
      <c r="N37" s="6">
        <f t="shared" si="22"/>
        <v>1.4656999826429999</v>
      </c>
      <c r="O37" s="6">
        <f t="shared" si="23"/>
        <v>1.5</v>
      </c>
      <c r="P37" s="7">
        <f t="shared" si="24"/>
        <v>133846.92857142858</v>
      </c>
      <c r="Q37" s="131" t="str">
        <f t="shared" si="25"/>
        <v/>
      </c>
      <c r="R37" s="7"/>
      <c r="S37" s="7">
        <f t="shared" si="19"/>
        <v>133846.92857142858</v>
      </c>
      <c r="T37" s="7">
        <f t="shared" si="19"/>
        <v>133846.92857142858</v>
      </c>
      <c r="U37" s="7">
        <f t="shared" si="19"/>
        <v>133846.92857142858</v>
      </c>
      <c r="V37" s="7">
        <f t="shared" si="19"/>
        <v>133846.92857142858</v>
      </c>
      <c r="W37" s="7">
        <f t="shared" si="19"/>
        <v>133846.92857142858</v>
      </c>
      <c r="X37" s="7">
        <f t="shared" si="19"/>
        <v>133846.92857142858</v>
      </c>
      <c r="Y37" s="7">
        <f t="shared" si="19"/>
        <v>133846.92857142858</v>
      </c>
      <c r="Z37" s="7">
        <f t="shared" si="19"/>
        <v>133846.92857142858</v>
      </c>
      <c r="AA37" s="7">
        <f t="shared" si="19"/>
        <v>133846.92857142858</v>
      </c>
      <c r="AB37" s="7">
        <f t="shared" si="19"/>
        <v>133846.92857142858</v>
      </c>
      <c r="AC37" s="7">
        <f t="shared" si="20"/>
        <v>133846.92857142858</v>
      </c>
      <c r="AD37" s="7">
        <f t="shared" si="20"/>
        <v>133846.92857142858</v>
      </c>
      <c r="AE37" s="7">
        <f t="shared" si="20"/>
        <v>133846.92857142858</v>
      </c>
      <c r="AF37" s="7">
        <f t="shared" si="20"/>
        <v>133846.92857142858</v>
      </c>
      <c r="AG37" s="7">
        <f t="shared" si="20"/>
        <v>0</v>
      </c>
      <c r="AH37" s="7">
        <f t="shared" si="20"/>
        <v>0</v>
      </c>
      <c r="AI37" s="7">
        <f t="shared" si="20"/>
        <v>0</v>
      </c>
      <c r="AJ37" s="7">
        <f t="shared" si="20"/>
        <v>0</v>
      </c>
      <c r="AK37" s="7">
        <f t="shared" si="20"/>
        <v>0</v>
      </c>
      <c r="AL37" s="7">
        <f t="shared" si="20"/>
        <v>0</v>
      </c>
      <c r="AM37" s="7">
        <f t="shared" si="20"/>
        <v>0</v>
      </c>
      <c r="AN37" s="7">
        <f t="shared" si="20"/>
        <v>0</v>
      </c>
      <c r="AO37" s="7">
        <f t="shared" si="20"/>
        <v>0</v>
      </c>
    </row>
    <row r="38" spans="1:41" x14ac:dyDescent="0.35">
      <c r="A38" s="5" t="s">
        <v>35</v>
      </c>
      <c r="B38" s="5">
        <v>37</v>
      </c>
      <c r="C38" s="7">
        <v>15715</v>
      </c>
      <c r="D38" s="8">
        <v>0.70289999246599999</v>
      </c>
      <c r="E38" s="6">
        <f t="shared" si="18"/>
        <v>1.405799984932</v>
      </c>
      <c r="F38" s="132">
        <f t="shared" si="11"/>
        <v>0.1</v>
      </c>
      <c r="G38" s="128">
        <f t="shared" si="21"/>
        <v>0.80289999246599997</v>
      </c>
      <c r="H38" s="132">
        <f t="shared" si="11"/>
        <v>0.8</v>
      </c>
      <c r="I38" s="128">
        <f t="shared" si="9"/>
        <v>1.502899992466</v>
      </c>
      <c r="J38" s="7">
        <v>0</v>
      </c>
      <c r="K38" s="7">
        <f t="shared" si="14"/>
        <v>15715</v>
      </c>
      <c r="L38" s="133">
        <f t="shared" si="10"/>
        <v>0</v>
      </c>
      <c r="M38" s="7"/>
      <c r="N38" s="6">
        <f t="shared" si="22"/>
        <v>1.4028999924659999</v>
      </c>
      <c r="O38" s="6">
        <f t="shared" si="23"/>
        <v>1.4</v>
      </c>
      <c r="P38" s="7">
        <f t="shared" si="24"/>
        <v>1208.846153846154</v>
      </c>
      <c r="Q38" s="131" t="str">
        <f t="shared" si="25"/>
        <v/>
      </c>
      <c r="R38" s="7"/>
      <c r="S38" s="7">
        <f t="shared" si="19"/>
        <v>1208.846153846154</v>
      </c>
      <c r="T38" s="7">
        <f t="shared" si="19"/>
        <v>1208.846153846154</v>
      </c>
      <c r="U38" s="7">
        <f t="shared" si="19"/>
        <v>1208.846153846154</v>
      </c>
      <c r="V38" s="7">
        <f t="shared" si="19"/>
        <v>1208.846153846154</v>
      </c>
      <c r="W38" s="7">
        <f t="shared" si="19"/>
        <v>1208.846153846154</v>
      </c>
      <c r="X38" s="7">
        <f t="shared" si="19"/>
        <v>1208.846153846154</v>
      </c>
      <c r="Y38" s="7">
        <f t="shared" si="19"/>
        <v>1208.846153846154</v>
      </c>
      <c r="Z38" s="7">
        <f t="shared" si="19"/>
        <v>1208.846153846154</v>
      </c>
      <c r="AA38" s="7">
        <f t="shared" si="19"/>
        <v>1208.846153846154</v>
      </c>
      <c r="AB38" s="7">
        <f t="shared" si="19"/>
        <v>1208.846153846154</v>
      </c>
      <c r="AC38" s="7">
        <f t="shared" si="20"/>
        <v>1208.846153846154</v>
      </c>
      <c r="AD38" s="7">
        <f t="shared" si="20"/>
        <v>1208.846153846154</v>
      </c>
      <c r="AE38" s="7">
        <f t="shared" si="20"/>
        <v>1208.846153846154</v>
      </c>
      <c r="AF38" s="7">
        <f t="shared" si="20"/>
        <v>0</v>
      </c>
      <c r="AG38" s="7">
        <f t="shared" si="20"/>
        <v>0</v>
      </c>
      <c r="AH38" s="7">
        <f t="shared" si="20"/>
        <v>0</v>
      </c>
      <c r="AI38" s="7">
        <f t="shared" si="20"/>
        <v>0</v>
      </c>
      <c r="AJ38" s="7">
        <f t="shared" si="20"/>
        <v>0</v>
      </c>
      <c r="AK38" s="7">
        <f t="shared" si="20"/>
        <v>0</v>
      </c>
      <c r="AL38" s="7">
        <f t="shared" si="20"/>
        <v>0</v>
      </c>
      <c r="AM38" s="7">
        <f t="shared" si="20"/>
        <v>0</v>
      </c>
      <c r="AN38" s="7">
        <f t="shared" si="20"/>
        <v>0</v>
      </c>
      <c r="AO38" s="7">
        <f t="shared" si="20"/>
        <v>0</v>
      </c>
    </row>
    <row r="39" spans="1:41" x14ac:dyDescent="0.35">
      <c r="A39" s="5" t="s">
        <v>36</v>
      </c>
      <c r="B39" s="5">
        <v>38</v>
      </c>
      <c r="C39" s="7">
        <v>18644</v>
      </c>
      <c r="D39" s="8">
        <v>0.75019997358299995</v>
      </c>
      <c r="E39" s="6">
        <f t="shared" si="18"/>
        <v>1.5003999471659999</v>
      </c>
      <c r="F39" s="132">
        <f t="shared" si="11"/>
        <v>0.1</v>
      </c>
      <c r="G39" s="128">
        <f t="shared" si="21"/>
        <v>0.85019997358299992</v>
      </c>
      <c r="H39" s="132">
        <f t="shared" si="11"/>
        <v>0.8</v>
      </c>
      <c r="I39" s="128">
        <f t="shared" si="9"/>
        <v>1.5501999735830001</v>
      </c>
      <c r="J39" s="7">
        <v>0</v>
      </c>
      <c r="K39" s="7">
        <f t="shared" si="14"/>
        <v>18644</v>
      </c>
      <c r="L39" s="133">
        <f t="shared" si="10"/>
        <v>0</v>
      </c>
      <c r="M39" s="7"/>
      <c r="N39" s="6">
        <f t="shared" si="22"/>
        <v>1.450199973583</v>
      </c>
      <c r="O39" s="6">
        <f t="shared" si="23"/>
        <v>1.5</v>
      </c>
      <c r="P39" s="7">
        <f t="shared" si="24"/>
        <v>1331.7142857142858</v>
      </c>
      <c r="Q39" s="131" t="str">
        <f t="shared" si="25"/>
        <v/>
      </c>
      <c r="R39" s="7"/>
      <c r="S39" s="7">
        <f t="shared" si="19"/>
        <v>1331.7142857142858</v>
      </c>
      <c r="T39" s="7">
        <f t="shared" si="19"/>
        <v>1331.7142857142858</v>
      </c>
      <c r="U39" s="7">
        <f t="shared" si="19"/>
        <v>1331.7142857142858</v>
      </c>
      <c r="V39" s="7">
        <f t="shared" si="19"/>
        <v>1331.7142857142858</v>
      </c>
      <c r="W39" s="7">
        <f t="shared" si="19"/>
        <v>1331.7142857142858</v>
      </c>
      <c r="X39" s="7">
        <f t="shared" si="19"/>
        <v>1331.7142857142858</v>
      </c>
      <c r="Y39" s="7">
        <f t="shared" si="19"/>
        <v>1331.7142857142858</v>
      </c>
      <c r="Z39" s="7">
        <f t="shared" si="19"/>
        <v>1331.7142857142858</v>
      </c>
      <c r="AA39" s="7">
        <f t="shared" si="19"/>
        <v>1331.7142857142858</v>
      </c>
      <c r="AB39" s="7">
        <f t="shared" si="19"/>
        <v>1331.7142857142858</v>
      </c>
      <c r="AC39" s="7">
        <f t="shared" si="20"/>
        <v>1331.7142857142858</v>
      </c>
      <c r="AD39" s="7">
        <f t="shared" si="20"/>
        <v>1331.7142857142858</v>
      </c>
      <c r="AE39" s="7">
        <f t="shared" si="20"/>
        <v>1331.7142857142858</v>
      </c>
      <c r="AF39" s="7">
        <f t="shared" si="20"/>
        <v>1331.7142857142858</v>
      </c>
      <c r="AG39" s="7">
        <f t="shared" si="20"/>
        <v>0</v>
      </c>
      <c r="AH39" s="7">
        <f t="shared" si="20"/>
        <v>0</v>
      </c>
      <c r="AI39" s="7">
        <f t="shared" si="20"/>
        <v>0</v>
      </c>
      <c r="AJ39" s="7">
        <f t="shared" si="20"/>
        <v>0</v>
      </c>
      <c r="AK39" s="7">
        <f t="shared" si="20"/>
        <v>0</v>
      </c>
      <c r="AL39" s="7">
        <f t="shared" si="20"/>
        <v>0</v>
      </c>
      <c r="AM39" s="7">
        <f t="shared" si="20"/>
        <v>0</v>
      </c>
      <c r="AN39" s="7">
        <f t="shared" si="20"/>
        <v>0</v>
      </c>
      <c r="AO39" s="7">
        <f t="shared" si="20"/>
        <v>0</v>
      </c>
    </row>
    <row r="40" spans="1:41" x14ac:dyDescent="0.35">
      <c r="A40" s="5" t="s">
        <v>37</v>
      </c>
      <c r="B40" s="5">
        <v>39</v>
      </c>
      <c r="C40" s="7">
        <v>1822437</v>
      </c>
      <c r="D40" s="8">
        <v>0.80099999904600006</v>
      </c>
      <c r="E40" s="6">
        <f t="shared" si="18"/>
        <v>1.6019999980920001</v>
      </c>
      <c r="F40" s="132">
        <f t="shared" si="11"/>
        <v>0.1</v>
      </c>
      <c r="G40" s="128">
        <f t="shared" si="21"/>
        <v>0.90099999904600003</v>
      </c>
      <c r="H40" s="132">
        <f t="shared" si="11"/>
        <v>0.8</v>
      </c>
      <c r="I40" s="128">
        <f t="shared" si="9"/>
        <v>1.600999999046</v>
      </c>
      <c r="J40" s="7">
        <v>672711</v>
      </c>
      <c r="K40" s="7">
        <f t="shared" si="14"/>
        <v>1149726</v>
      </c>
      <c r="L40" s="133">
        <f t="shared" si="10"/>
        <v>0.36912716324350309</v>
      </c>
      <c r="M40" s="7"/>
      <c r="N40" s="6">
        <f t="shared" si="22"/>
        <v>1.5009999990459999</v>
      </c>
      <c r="O40" s="6">
        <f t="shared" si="23"/>
        <v>1.5</v>
      </c>
      <c r="P40" s="7">
        <f t="shared" si="24"/>
        <v>82123.28571428571</v>
      </c>
      <c r="Q40" s="131" t="str">
        <f t="shared" si="25"/>
        <v/>
      </c>
      <c r="R40" s="7"/>
      <c r="S40" s="7">
        <f t="shared" si="19"/>
        <v>82123.28571428571</v>
      </c>
      <c r="T40" s="7">
        <f t="shared" si="19"/>
        <v>82123.28571428571</v>
      </c>
      <c r="U40" s="7">
        <f t="shared" si="19"/>
        <v>82123.28571428571</v>
      </c>
      <c r="V40" s="7">
        <f t="shared" si="19"/>
        <v>82123.28571428571</v>
      </c>
      <c r="W40" s="7">
        <f t="shared" si="19"/>
        <v>82123.28571428571</v>
      </c>
      <c r="X40" s="7">
        <f t="shared" si="19"/>
        <v>82123.28571428571</v>
      </c>
      <c r="Y40" s="7">
        <f t="shared" si="19"/>
        <v>82123.28571428571</v>
      </c>
      <c r="Z40" s="7">
        <f t="shared" si="19"/>
        <v>82123.28571428571</v>
      </c>
      <c r="AA40" s="7">
        <f t="shared" si="19"/>
        <v>82123.28571428571</v>
      </c>
      <c r="AB40" s="7">
        <f t="shared" si="19"/>
        <v>82123.28571428571</v>
      </c>
      <c r="AC40" s="7">
        <f t="shared" si="20"/>
        <v>82123.28571428571</v>
      </c>
      <c r="AD40" s="7">
        <f t="shared" si="20"/>
        <v>82123.28571428571</v>
      </c>
      <c r="AE40" s="7">
        <f t="shared" si="20"/>
        <v>82123.28571428571</v>
      </c>
      <c r="AF40" s="7">
        <f t="shared" si="20"/>
        <v>82123.28571428571</v>
      </c>
      <c r="AG40" s="7">
        <f t="shared" si="20"/>
        <v>0</v>
      </c>
      <c r="AH40" s="7">
        <f t="shared" si="20"/>
        <v>0</v>
      </c>
      <c r="AI40" s="7">
        <f t="shared" si="20"/>
        <v>0</v>
      </c>
      <c r="AJ40" s="7">
        <f t="shared" si="20"/>
        <v>0</v>
      </c>
      <c r="AK40" s="7">
        <f t="shared" si="20"/>
        <v>0</v>
      </c>
      <c r="AL40" s="7">
        <f t="shared" si="20"/>
        <v>0</v>
      </c>
      <c r="AM40" s="7">
        <f t="shared" si="20"/>
        <v>0</v>
      </c>
      <c r="AN40" s="7">
        <f t="shared" si="20"/>
        <v>0</v>
      </c>
      <c r="AO40" s="7">
        <f t="shared" si="20"/>
        <v>0</v>
      </c>
    </row>
    <row r="41" spans="1:41" x14ac:dyDescent="0.35">
      <c r="A41" s="5" t="s">
        <v>38</v>
      </c>
      <c r="B41" s="5">
        <v>40</v>
      </c>
      <c r="C41" s="7">
        <v>242575</v>
      </c>
      <c r="D41" s="8">
        <v>0.80440002679800005</v>
      </c>
      <c r="E41" s="6">
        <f t="shared" si="18"/>
        <v>1.6088000535960001</v>
      </c>
      <c r="F41" s="132">
        <f t="shared" si="11"/>
        <v>0.1</v>
      </c>
      <c r="G41" s="128">
        <f t="shared" si="21"/>
        <v>0.90440002679800002</v>
      </c>
      <c r="H41" s="132">
        <f t="shared" si="11"/>
        <v>0.8</v>
      </c>
      <c r="I41" s="128">
        <f t="shared" si="9"/>
        <v>1.6044000267980001</v>
      </c>
      <c r="J41" s="7">
        <v>105548</v>
      </c>
      <c r="K41" s="7">
        <f t="shared" si="14"/>
        <v>137027</v>
      </c>
      <c r="L41" s="133">
        <f t="shared" si="10"/>
        <v>0.43511491291353188</v>
      </c>
      <c r="M41" s="7"/>
      <c r="N41" s="6">
        <f t="shared" si="22"/>
        <v>1.504400026798</v>
      </c>
      <c r="O41" s="6">
        <f t="shared" si="23"/>
        <v>1.5</v>
      </c>
      <c r="P41" s="7">
        <f t="shared" si="24"/>
        <v>9787.6428571428569</v>
      </c>
      <c r="Q41" s="131" t="str">
        <f t="shared" si="25"/>
        <v/>
      </c>
      <c r="R41" s="7"/>
      <c r="S41" s="7">
        <f t="shared" si="19"/>
        <v>9787.6428571428569</v>
      </c>
      <c r="T41" s="7">
        <f t="shared" si="19"/>
        <v>9787.6428571428569</v>
      </c>
      <c r="U41" s="7">
        <f t="shared" si="19"/>
        <v>9787.6428571428569</v>
      </c>
      <c r="V41" s="7">
        <f t="shared" si="19"/>
        <v>9787.6428571428569</v>
      </c>
      <c r="W41" s="7">
        <f t="shared" si="19"/>
        <v>9787.6428571428569</v>
      </c>
      <c r="X41" s="7">
        <f t="shared" si="19"/>
        <v>9787.6428571428569</v>
      </c>
      <c r="Y41" s="7">
        <f t="shared" si="19"/>
        <v>9787.6428571428569</v>
      </c>
      <c r="Z41" s="7">
        <f t="shared" si="19"/>
        <v>9787.6428571428569</v>
      </c>
      <c r="AA41" s="7">
        <f t="shared" si="19"/>
        <v>9787.6428571428569</v>
      </c>
      <c r="AB41" s="7">
        <f t="shared" si="19"/>
        <v>9787.6428571428569</v>
      </c>
      <c r="AC41" s="7">
        <f t="shared" si="20"/>
        <v>9787.6428571428569</v>
      </c>
      <c r="AD41" s="7">
        <f t="shared" si="20"/>
        <v>9787.6428571428569</v>
      </c>
      <c r="AE41" s="7">
        <f t="shared" si="20"/>
        <v>9787.6428571428569</v>
      </c>
      <c r="AF41" s="7">
        <f t="shared" si="20"/>
        <v>9787.6428571428569</v>
      </c>
      <c r="AG41" s="7">
        <f t="shared" si="20"/>
        <v>0</v>
      </c>
      <c r="AH41" s="7">
        <f t="shared" si="20"/>
        <v>0</v>
      </c>
      <c r="AI41" s="7">
        <f t="shared" si="20"/>
        <v>0</v>
      </c>
      <c r="AJ41" s="7">
        <f t="shared" si="20"/>
        <v>0</v>
      </c>
      <c r="AK41" s="7">
        <f t="shared" si="20"/>
        <v>0</v>
      </c>
      <c r="AL41" s="7">
        <f t="shared" si="20"/>
        <v>0</v>
      </c>
      <c r="AM41" s="7">
        <f t="shared" si="20"/>
        <v>0</v>
      </c>
      <c r="AN41" s="7">
        <f t="shared" si="20"/>
        <v>0</v>
      </c>
      <c r="AO41" s="7">
        <f t="shared" si="20"/>
        <v>0</v>
      </c>
    </row>
    <row r="42" spans="1:41" x14ac:dyDescent="0.35">
      <c r="A42" s="5" t="s">
        <v>39</v>
      </c>
      <c r="B42" s="5">
        <v>41</v>
      </c>
      <c r="C42" s="7">
        <v>131008</v>
      </c>
      <c r="D42" s="8">
        <v>0.85110002756100001</v>
      </c>
      <c r="E42" s="6">
        <f t="shared" si="18"/>
        <v>1.702200055122</v>
      </c>
      <c r="F42" s="132">
        <f t="shared" si="11"/>
        <v>0.1</v>
      </c>
      <c r="G42" s="128">
        <f t="shared" si="21"/>
        <v>0.95110002756099998</v>
      </c>
      <c r="H42" s="132">
        <f t="shared" si="11"/>
        <v>0.8</v>
      </c>
      <c r="I42" s="128">
        <f t="shared" si="9"/>
        <v>1.6511000275610002</v>
      </c>
      <c r="J42" s="7">
        <v>48799</v>
      </c>
      <c r="K42" s="7">
        <f t="shared" si="14"/>
        <v>82209</v>
      </c>
      <c r="L42" s="133">
        <f t="shared" si="10"/>
        <v>0.37248870297997067</v>
      </c>
      <c r="M42" s="7"/>
      <c r="N42" s="6">
        <f t="shared" si="22"/>
        <v>1.5511000275610001</v>
      </c>
      <c r="O42" s="6">
        <f t="shared" si="23"/>
        <v>1.6</v>
      </c>
      <c r="P42" s="7">
        <f t="shared" si="24"/>
        <v>5480.6</v>
      </c>
      <c r="Q42" s="131" t="str">
        <f t="shared" si="25"/>
        <v/>
      </c>
      <c r="R42" s="7"/>
      <c r="S42" s="7">
        <f t="shared" ref="S42:AB51" si="26">IF($P42=0,0,IF(S$1&lt;=$O42,$P42,0))</f>
        <v>5480.6</v>
      </c>
      <c r="T42" s="7">
        <f t="shared" si="26"/>
        <v>5480.6</v>
      </c>
      <c r="U42" s="7">
        <f t="shared" si="26"/>
        <v>5480.6</v>
      </c>
      <c r="V42" s="7">
        <f t="shared" si="26"/>
        <v>5480.6</v>
      </c>
      <c r="W42" s="7">
        <f t="shared" si="26"/>
        <v>5480.6</v>
      </c>
      <c r="X42" s="7">
        <f t="shared" si="26"/>
        <v>5480.6</v>
      </c>
      <c r="Y42" s="7">
        <f t="shared" si="26"/>
        <v>5480.6</v>
      </c>
      <c r="Z42" s="7">
        <f t="shared" si="26"/>
        <v>5480.6</v>
      </c>
      <c r="AA42" s="7">
        <f t="shared" si="26"/>
        <v>5480.6</v>
      </c>
      <c r="AB42" s="7">
        <f t="shared" si="26"/>
        <v>5480.6</v>
      </c>
      <c r="AC42" s="7">
        <f t="shared" ref="AC42:AO51" si="27">IF($P42=0,0,IF(AC$1&lt;=$O42,$P42,0))</f>
        <v>5480.6</v>
      </c>
      <c r="AD42" s="7">
        <f t="shared" si="27"/>
        <v>5480.6</v>
      </c>
      <c r="AE42" s="7">
        <f t="shared" si="27"/>
        <v>5480.6</v>
      </c>
      <c r="AF42" s="7">
        <f t="shared" si="27"/>
        <v>5480.6</v>
      </c>
      <c r="AG42" s="7">
        <f t="shared" si="27"/>
        <v>5480.6</v>
      </c>
      <c r="AH42" s="7">
        <f t="shared" si="27"/>
        <v>0</v>
      </c>
      <c r="AI42" s="7">
        <f t="shared" si="27"/>
        <v>0</v>
      </c>
      <c r="AJ42" s="7">
        <f t="shared" si="27"/>
        <v>0</v>
      </c>
      <c r="AK42" s="7">
        <f t="shared" si="27"/>
        <v>0</v>
      </c>
      <c r="AL42" s="7">
        <f t="shared" si="27"/>
        <v>0</v>
      </c>
      <c r="AM42" s="7">
        <f t="shared" si="27"/>
        <v>0</v>
      </c>
      <c r="AN42" s="7">
        <f t="shared" si="27"/>
        <v>0</v>
      </c>
      <c r="AO42" s="7">
        <f t="shared" si="27"/>
        <v>0</v>
      </c>
    </row>
    <row r="43" spans="1:41" x14ac:dyDescent="0.35">
      <c r="A43" s="5" t="s">
        <v>40</v>
      </c>
      <c r="B43" s="5">
        <v>42</v>
      </c>
      <c r="C43" s="7">
        <v>902899</v>
      </c>
      <c r="D43" s="8">
        <v>0.85769999027300003</v>
      </c>
      <c r="E43" s="6">
        <f t="shared" si="18"/>
        <v>1.7153999805460001</v>
      </c>
      <c r="F43" s="132">
        <f t="shared" si="11"/>
        <v>0.1</v>
      </c>
      <c r="G43" s="128">
        <f t="shared" si="21"/>
        <v>0.95769999027300001</v>
      </c>
      <c r="H43" s="132">
        <f t="shared" si="11"/>
        <v>0.8</v>
      </c>
      <c r="I43" s="128">
        <f t="shared" si="9"/>
        <v>1.6576999902730001</v>
      </c>
      <c r="J43" s="7">
        <v>431675</v>
      </c>
      <c r="K43" s="7">
        <f t="shared" si="14"/>
        <v>471224</v>
      </c>
      <c r="L43" s="133">
        <f t="shared" si="10"/>
        <v>0.47809887927664113</v>
      </c>
      <c r="M43" s="7"/>
      <c r="N43" s="6">
        <f t="shared" si="22"/>
        <v>1.557699990273</v>
      </c>
      <c r="O43" s="6">
        <f t="shared" si="23"/>
        <v>1.6</v>
      </c>
      <c r="P43" s="7">
        <f t="shared" si="24"/>
        <v>31414.933333333334</v>
      </c>
      <c r="Q43" s="131" t="str">
        <f t="shared" si="25"/>
        <v/>
      </c>
      <c r="R43" s="7"/>
      <c r="S43" s="7">
        <f t="shared" si="26"/>
        <v>31414.933333333334</v>
      </c>
      <c r="T43" s="7">
        <f t="shared" si="26"/>
        <v>31414.933333333334</v>
      </c>
      <c r="U43" s="7">
        <f t="shared" si="26"/>
        <v>31414.933333333334</v>
      </c>
      <c r="V43" s="7">
        <f t="shared" si="26"/>
        <v>31414.933333333334</v>
      </c>
      <c r="W43" s="7">
        <f t="shared" si="26"/>
        <v>31414.933333333334</v>
      </c>
      <c r="X43" s="7">
        <f t="shared" si="26"/>
        <v>31414.933333333334</v>
      </c>
      <c r="Y43" s="7">
        <f t="shared" si="26"/>
        <v>31414.933333333334</v>
      </c>
      <c r="Z43" s="7">
        <f t="shared" si="26"/>
        <v>31414.933333333334</v>
      </c>
      <c r="AA43" s="7">
        <f t="shared" si="26"/>
        <v>31414.933333333334</v>
      </c>
      <c r="AB43" s="7">
        <f t="shared" si="26"/>
        <v>31414.933333333334</v>
      </c>
      <c r="AC43" s="7">
        <f t="shared" si="27"/>
        <v>31414.933333333334</v>
      </c>
      <c r="AD43" s="7">
        <f t="shared" si="27"/>
        <v>31414.933333333334</v>
      </c>
      <c r="AE43" s="7">
        <f t="shared" si="27"/>
        <v>31414.933333333334</v>
      </c>
      <c r="AF43" s="7">
        <f t="shared" si="27"/>
        <v>31414.933333333334</v>
      </c>
      <c r="AG43" s="7">
        <f t="shared" si="27"/>
        <v>31414.933333333334</v>
      </c>
      <c r="AH43" s="7">
        <f t="shared" si="27"/>
        <v>0</v>
      </c>
      <c r="AI43" s="7">
        <f t="shared" si="27"/>
        <v>0</v>
      </c>
      <c r="AJ43" s="7">
        <f t="shared" si="27"/>
        <v>0</v>
      </c>
      <c r="AK43" s="7">
        <f t="shared" si="27"/>
        <v>0</v>
      </c>
      <c r="AL43" s="7">
        <f t="shared" si="27"/>
        <v>0</v>
      </c>
      <c r="AM43" s="7">
        <f t="shared" si="27"/>
        <v>0</v>
      </c>
      <c r="AN43" s="7">
        <f t="shared" si="27"/>
        <v>0</v>
      </c>
      <c r="AO43" s="7">
        <f t="shared" si="27"/>
        <v>0</v>
      </c>
    </row>
    <row r="44" spans="1:41" x14ac:dyDescent="0.35">
      <c r="A44" s="5" t="s">
        <v>41</v>
      </c>
      <c r="B44" s="5">
        <v>43</v>
      </c>
      <c r="C44" s="7">
        <v>316087</v>
      </c>
      <c r="D44" s="8">
        <v>0.89179998636199997</v>
      </c>
      <c r="E44" s="6">
        <f t="shared" si="18"/>
        <v>1.7835999727239999</v>
      </c>
      <c r="F44" s="132">
        <f t="shared" si="11"/>
        <v>0.1</v>
      </c>
      <c r="G44" s="128">
        <f t="shared" si="21"/>
        <v>0.99179998636199995</v>
      </c>
      <c r="H44" s="132">
        <f t="shared" si="11"/>
        <v>0.8</v>
      </c>
      <c r="I44" s="128">
        <f t="shared" si="9"/>
        <v>1.6917999863620001</v>
      </c>
      <c r="J44" s="7">
        <v>127900</v>
      </c>
      <c r="K44" s="7">
        <f t="shared" si="14"/>
        <v>188187</v>
      </c>
      <c r="L44" s="133">
        <f t="shared" si="10"/>
        <v>0.40463543264987173</v>
      </c>
      <c r="M44" s="7"/>
      <c r="N44" s="6">
        <f t="shared" si="22"/>
        <v>1.591799986362</v>
      </c>
      <c r="O44" s="6">
        <f t="shared" si="23"/>
        <v>1.6</v>
      </c>
      <c r="P44" s="7">
        <f t="shared" si="24"/>
        <v>12545.8</v>
      </c>
      <c r="Q44" s="131" t="str">
        <f t="shared" si="25"/>
        <v/>
      </c>
      <c r="R44" s="7"/>
      <c r="S44" s="7">
        <f t="shared" si="26"/>
        <v>12545.8</v>
      </c>
      <c r="T44" s="7">
        <f t="shared" si="26"/>
        <v>12545.8</v>
      </c>
      <c r="U44" s="7">
        <f t="shared" si="26"/>
        <v>12545.8</v>
      </c>
      <c r="V44" s="7">
        <f t="shared" si="26"/>
        <v>12545.8</v>
      </c>
      <c r="W44" s="7">
        <f t="shared" si="26"/>
        <v>12545.8</v>
      </c>
      <c r="X44" s="7">
        <f t="shared" si="26"/>
        <v>12545.8</v>
      </c>
      <c r="Y44" s="7">
        <f t="shared" si="26"/>
        <v>12545.8</v>
      </c>
      <c r="Z44" s="7">
        <f t="shared" si="26"/>
        <v>12545.8</v>
      </c>
      <c r="AA44" s="7">
        <f t="shared" si="26"/>
        <v>12545.8</v>
      </c>
      <c r="AB44" s="7">
        <f t="shared" si="26"/>
        <v>12545.8</v>
      </c>
      <c r="AC44" s="7">
        <f t="shared" si="27"/>
        <v>12545.8</v>
      </c>
      <c r="AD44" s="7">
        <f t="shared" si="27"/>
        <v>12545.8</v>
      </c>
      <c r="AE44" s="7">
        <f t="shared" si="27"/>
        <v>12545.8</v>
      </c>
      <c r="AF44" s="7">
        <f t="shared" si="27"/>
        <v>12545.8</v>
      </c>
      <c r="AG44" s="7">
        <f t="shared" si="27"/>
        <v>12545.8</v>
      </c>
      <c r="AH44" s="7">
        <f t="shared" si="27"/>
        <v>0</v>
      </c>
      <c r="AI44" s="7">
        <f t="shared" si="27"/>
        <v>0</v>
      </c>
      <c r="AJ44" s="7">
        <f t="shared" si="27"/>
        <v>0</v>
      </c>
      <c r="AK44" s="7">
        <f t="shared" si="27"/>
        <v>0</v>
      </c>
      <c r="AL44" s="7">
        <f t="shared" si="27"/>
        <v>0</v>
      </c>
      <c r="AM44" s="7">
        <f t="shared" si="27"/>
        <v>0</v>
      </c>
      <c r="AN44" s="7">
        <f t="shared" si="27"/>
        <v>0</v>
      </c>
      <c r="AO44" s="7">
        <f t="shared" si="27"/>
        <v>0</v>
      </c>
    </row>
    <row r="45" spans="1:41" x14ac:dyDescent="0.35">
      <c r="A45" s="5" t="s">
        <v>42</v>
      </c>
      <c r="B45" s="5">
        <v>44</v>
      </c>
      <c r="C45" s="7">
        <v>58292</v>
      </c>
      <c r="D45" s="8">
        <v>0.90090000629400002</v>
      </c>
      <c r="E45" s="6">
        <f t="shared" si="18"/>
        <v>1.801800012588</v>
      </c>
      <c r="F45" s="132">
        <f t="shared" si="11"/>
        <v>0.1</v>
      </c>
      <c r="G45" s="128">
        <f t="shared" si="21"/>
        <v>1.0009000062940001</v>
      </c>
      <c r="H45" s="132">
        <f t="shared" si="11"/>
        <v>0.8</v>
      </c>
      <c r="I45" s="128">
        <f t="shared" si="9"/>
        <v>1.7009000062940001</v>
      </c>
      <c r="J45" s="7">
        <v>0</v>
      </c>
      <c r="K45" s="7">
        <f t="shared" si="14"/>
        <v>58292</v>
      </c>
      <c r="L45" s="133">
        <f t="shared" si="10"/>
        <v>0</v>
      </c>
      <c r="M45" s="7"/>
      <c r="N45" s="6">
        <f t="shared" si="22"/>
        <v>1.600900006294</v>
      </c>
      <c r="O45" s="6">
        <f t="shared" si="23"/>
        <v>1.6</v>
      </c>
      <c r="P45" s="7">
        <f t="shared" si="24"/>
        <v>3886.1333333333332</v>
      </c>
      <c r="Q45" s="131" t="str">
        <f t="shared" si="25"/>
        <v/>
      </c>
      <c r="R45" s="7"/>
      <c r="S45" s="7">
        <f t="shared" si="26"/>
        <v>3886.1333333333332</v>
      </c>
      <c r="T45" s="7">
        <f t="shared" si="26"/>
        <v>3886.1333333333332</v>
      </c>
      <c r="U45" s="7">
        <f t="shared" si="26"/>
        <v>3886.1333333333332</v>
      </c>
      <c r="V45" s="7">
        <f t="shared" si="26"/>
        <v>3886.1333333333332</v>
      </c>
      <c r="W45" s="7">
        <f t="shared" si="26"/>
        <v>3886.1333333333332</v>
      </c>
      <c r="X45" s="7">
        <f t="shared" si="26"/>
        <v>3886.1333333333332</v>
      </c>
      <c r="Y45" s="7">
        <f t="shared" si="26"/>
        <v>3886.1333333333332</v>
      </c>
      <c r="Z45" s="7">
        <f t="shared" si="26"/>
        <v>3886.1333333333332</v>
      </c>
      <c r="AA45" s="7">
        <f t="shared" si="26"/>
        <v>3886.1333333333332</v>
      </c>
      <c r="AB45" s="7">
        <f t="shared" si="26"/>
        <v>3886.1333333333332</v>
      </c>
      <c r="AC45" s="7">
        <f t="shared" si="27"/>
        <v>3886.1333333333332</v>
      </c>
      <c r="AD45" s="7">
        <f t="shared" si="27"/>
        <v>3886.1333333333332</v>
      </c>
      <c r="AE45" s="7">
        <f t="shared" si="27"/>
        <v>3886.1333333333332</v>
      </c>
      <c r="AF45" s="7">
        <f t="shared" si="27"/>
        <v>3886.1333333333332</v>
      </c>
      <c r="AG45" s="7">
        <f t="shared" si="27"/>
        <v>3886.1333333333332</v>
      </c>
      <c r="AH45" s="7">
        <f t="shared" si="27"/>
        <v>0</v>
      </c>
      <c r="AI45" s="7">
        <f t="shared" si="27"/>
        <v>0</v>
      </c>
      <c r="AJ45" s="7">
        <f t="shared" si="27"/>
        <v>0</v>
      </c>
      <c r="AK45" s="7">
        <f t="shared" si="27"/>
        <v>0</v>
      </c>
      <c r="AL45" s="7">
        <f t="shared" si="27"/>
        <v>0</v>
      </c>
      <c r="AM45" s="7">
        <f t="shared" si="27"/>
        <v>0</v>
      </c>
      <c r="AN45" s="7">
        <f t="shared" si="27"/>
        <v>0</v>
      </c>
      <c r="AO45" s="7">
        <f t="shared" si="27"/>
        <v>0</v>
      </c>
    </row>
    <row r="46" spans="1:41" x14ac:dyDescent="0.35">
      <c r="A46" s="5" t="s">
        <v>43</v>
      </c>
      <c r="B46" s="5">
        <v>45</v>
      </c>
      <c r="C46" s="7">
        <v>2702490</v>
      </c>
      <c r="D46" s="8">
        <v>0.90319997072199998</v>
      </c>
      <c r="E46" s="6">
        <f t="shared" si="18"/>
        <v>1.806399941444</v>
      </c>
      <c r="F46" s="132">
        <f t="shared" si="11"/>
        <v>0.1</v>
      </c>
      <c r="G46" s="128">
        <f t="shared" si="21"/>
        <v>1.0031999707220001</v>
      </c>
      <c r="H46" s="132">
        <f t="shared" si="11"/>
        <v>0.8</v>
      </c>
      <c r="I46" s="128">
        <f t="shared" si="9"/>
        <v>1.703199970722</v>
      </c>
      <c r="J46" s="7">
        <v>1755183</v>
      </c>
      <c r="K46" s="7">
        <f t="shared" si="14"/>
        <v>947307</v>
      </c>
      <c r="L46" s="133">
        <f t="shared" si="10"/>
        <v>0.64946882319638555</v>
      </c>
      <c r="M46" s="7"/>
      <c r="N46" s="6">
        <f t="shared" si="22"/>
        <v>1.6031999707219999</v>
      </c>
      <c r="O46" s="6">
        <f t="shared" si="23"/>
        <v>1.6</v>
      </c>
      <c r="P46" s="7">
        <f t="shared" si="24"/>
        <v>63153.8</v>
      </c>
      <c r="Q46" s="131" t="str">
        <f t="shared" si="25"/>
        <v/>
      </c>
      <c r="R46" s="7"/>
      <c r="S46" s="7">
        <f t="shared" si="26"/>
        <v>63153.8</v>
      </c>
      <c r="T46" s="7">
        <f t="shared" si="26"/>
        <v>63153.8</v>
      </c>
      <c r="U46" s="7">
        <f t="shared" si="26"/>
        <v>63153.8</v>
      </c>
      <c r="V46" s="7">
        <f t="shared" si="26"/>
        <v>63153.8</v>
      </c>
      <c r="W46" s="7">
        <f t="shared" si="26"/>
        <v>63153.8</v>
      </c>
      <c r="X46" s="7">
        <f t="shared" si="26"/>
        <v>63153.8</v>
      </c>
      <c r="Y46" s="7">
        <f t="shared" si="26"/>
        <v>63153.8</v>
      </c>
      <c r="Z46" s="7">
        <f t="shared" si="26"/>
        <v>63153.8</v>
      </c>
      <c r="AA46" s="7">
        <f t="shared" si="26"/>
        <v>63153.8</v>
      </c>
      <c r="AB46" s="7">
        <f t="shared" si="26"/>
        <v>63153.8</v>
      </c>
      <c r="AC46" s="7">
        <f t="shared" si="27"/>
        <v>63153.8</v>
      </c>
      <c r="AD46" s="7">
        <f t="shared" si="27"/>
        <v>63153.8</v>
      </c>
      <c r="AE46" s="7">
        <f t="shared" si="27"/>
        <v>63153.8</v>
      </c>
      <c r="AF46" s="7">
        <f t="shared" si="27"/>
        <v>63153.8</v>
      </c>
      <c r="AG46" s="7">
        <f t="shared" si="27"/>
        <v>63153.8</v>
      </c>
      <c r="AH46" s="7">
        <f t="shared" si="27"/>
        <v>0</v>
      </c>
      <c r="AI46" s="7">
        <f t="shared" si="27"/>
        <v>0</v>
      </c>
      <c r="AJ46" s="7">
        <f t="shared" si="27"/>
        <v>0</v>
      </c>
      <c r="AK46" s="7">
        <f t="shared" si="27"/>
        <v>0</v>
      </c>
      <c r="AL46" s="7">
        <f t="shared" si="27"/>
        <v>0</v>
      </c>
      <c r="AM46" s="7">
        <f t="shared" si="27"/>
        <v>0</v>
      </c>
      <c r="AN46" s="7">
        <f t="shared" si="27"/>
        <v>0</v>
      </c>
      <c r="AO46" s="7">
        <f t="shared" si="27"/>
        <v>0</v>
      </c>
    </row>
    <row r="47" spans="1:41" x14ac:dyDescent="0.35">
      <c r="A47" s="5" t="s">
        <v>44</v>
      </c>
      <c r="B47" s="5">
        <v>46</v>
      </c>
      <c r="C47" s="7">
        <v>74175</v>
      </c>
      <c r="D47" s="8">
        <v>0.90380001068100002</v>
      </c>
      <c r="E47" s="6">
        <f t="shared" si="18"/>
        <v>1.807600021362</v>
      </c>
      <c r="F47" s="132">
        <f t="shared" si="11"/>
        <v>0.1</v>
      </c>
      <c r="G47" s="128">
        <f t="shared" si="21"/>
        <v>1.0038000106810001</v>
      </c>
      <c r="H47" s="132">
        <f t="shared" si="11"/>
        <v>0.8</v>
      </c>
      <c r="I47" s="128">
        <f t="shared" si="9"/>
        <v>1.7038000106810001</v>
      </c>
      <c r="J47" s="7">
        <v>0</v>
      </c>
      <c r="K47" s="7">
        <f t="shared" si="14"/>
        <v>74175</v>
      </c>
      <c r="L47" s="133">
        <f t="shared" si="10"/>
        <v>0</v>
      </c>
      <c r="M47" s="7"/>
      <c r="N47" s="6">
        <f t="shared" si="22"/>
        <v>1.603800010681</v>
      </c>
      <c r="O47" s="6">
        <f t="shared" si="23"/>
        <v>1.6</v>
      </c>
      <c r="P47" s="7">
        <f t="shared" si="24"/>
        <v>4945</v>
      </c>
      <c r="Q47" s="131" t="str">
        <f t="shared" si="25"/>
        <v/>
      </c>
      <c r="R47" s="7"/>
      <c r="S47" s="7">
        <f t="shared" si="26"/>
        <v>4945</v>
      </c>
      <c r="T47" s="7">
        <f t="shared" si="26"/>
        <v>4945</v>
      </c>
      <c r="U47" s="7">
        <f t="shared" si="26"/>
        <v>4945</v>
      </c>
      <c r="V47" s="7">
        <f t="shared" si="26"/>
        <v>4945</v>
      </c>
      <c r="W47" s="7">
        <f t="shared" si="26"/>
        <v>4945</v>
      </c>
      <c r="X47" s="7">
        <f t="shared" si="26"/>
        <v>4945</v>
      </c>
      <c r="Y47" s="7">
        <f t="shared" si="26"/>
        <v>4945</v>
      </c>
      <c r="Z47" s="7">
        <f t="shared" si="26"/>
        <v>4945</v>
      </c>
      <c r="AA47" s="7">
        <f t="shared" si="26"/>
        <v>4945</v>
      </c>
      <c r="AB47" s="7">
        <f t="shared" si="26"/>
        <v>4945</v>
      </c>
      <c r="AC47" s="7">
        <f t="shared" si="27"/>
        <v>4945</v>
      </c>
      <c r="AD47" s="7">
        <f t="shared" si="27"/>
        <v>4945</v>
      </c>
      <c r="AE47" s="7">
        <f t="shared" si="27"/>
        <v>4945</v>
      </c>
      <c r="AF47" s="7">
        <f t="shared" si="27"/>
        <v>4945</v>
      </c>
      <c r="AG47" s="7">
        <f t="shared" si="27"/>
        <v>4945</v>
      </c>
      <c r="AH47" s="7">
        <f t="shared" si="27"/>
        <v>0</v>
      </c>
      <c r="AI47" s="7">
        <f t="shared" si="27"/>
        <v>0</v>
      </c>
      <c r="AJ47" s="7">
        <f t="shared" si="27"/>
        <v>0</v>
      </c>
      <c r="AK47" s="7">
        <f t="shared" si="27"/>
        <v>0</v>
      </c>
      <c r="AL47" s="7">
        <f t="shared" si="27"/>
        <v>0</v>
      </c>
      <c r="AM47" s="7">
        <f t="shared" si="27"/>
        <v>0</v>
      </c>
      <c r="AN47" s="7">
        <f t="shared" si="27"/>
        <v>0</v>
      </c>
      <c r="AO47" s="7">
        <f t="shared" si="27"/>
        <v>0</v>
      </c>
    </row>
    <row r="48" spans="1:41" x14ac:dyDescent="0.35">
      <c r="A48" s="5" t="s">
        <v>45</v>
      </c>
      <c r="B48" s="5">
        <v>47</v>
      </c>
      <c r="C48" s="7">
        <v>421418</v>
      </c>
      <c r="D48" s="13">
        <v>0.95800000429200005</v>
      </c>
      <c r="E48" s="6">
        <f t="shared" si="18"/>
        <v>1.9160000085840001</v>
      </c>
      <c r="F48" s="132">
        <f t="shared" si="11"/>
        <v>0.1</v>
      </c>
      <c r="G48" s="128">
        <f t="shared" si="21"/>
        <v>1.0580000042920001</v>
      </c>
      <c r="H48" s="132">
        <f t="shared" si="11"/>
        <v>0.8</v>
      </c>
      <c r="I48" s="128">
        <f t="shared" si="9"/>
        <v>1.7580000042920001</v>
      </c>
      <c r="J48" s="7">
        <v>116536</v>
      </c>
      <c r="K48" s="7">
        <f t="shared" si="14"/>
        <v>304882</v>
      </c>
      <c r="L48" s="133">
        <f t="shared" si="10"/>
        <v>0.2765330384558799</v>
      </c>
      <c r="M48" s="7"/>
      <c r="N48" s="6">
        <f t="shared" si="22"/>
        <v>1.658000004292</v>
      </c>
      <c r="O48" s="6">
        <f t="shared" si="23"/>
        <v>1.7</v>
      </c>
      <c r="P48" s="7">
        <f t="shared" si="24"/>
        <v>19055.125</v>
      </c>
      <c r="Q48" s="131" t="str">
        <f t="shared" si="25"/>
        <v/>
      </c>
      <c r="R48" s="7"/>
      <c r="S48" s="7">
        <f t="shared" si="26"/>
        <v>19055.125</v>
      </c>
      <c r="T48" s="7">
        <f t="shared" si="26"/>
        <v>19055.125</v>
      </c>
      <c r="U48" s="7">
        <f t="shared" si="26"/>
        <v>19055.125</v>
      </c>
      <c r="V48" s="7">
        <f t="shared" si="26"/>
        <v>19055.125</v>
      </c>
      <c r="W48" s="7">
        <f t="shared" si="26"/>
        <v>19055.125</v>
      </c>
      <c r="X48" s="7">
        <f t="shared" si="26"/>
        <v>19055.125</v>
      </c>
      <c r="Y48" s="7">
        <f t="shared" si="26"/>
        <v>19055.125</v>
      </c>
      <c r="Z48" s="7">
        <f t="shared" si="26"/>
        <v>19055.125</v>
      </c>
      <c r="AA48" s="7">
        <f t="shared" si="26"/>
        <v>19055.125</v>
      </c>
      <c r="AB48" s="7">
        <f t="shared" si="26"/>
        <v>19055.125</v>
      </c>
      <c r="AC48" s="7">
        <f t="shared" si="27"/>
        <v>19055.125</v>
      </c>
      <c r="AD48" s="7">
        <f t="shared" si="27"/>
        <v>19055.125</v>
      </c>
      <c r="AE48" s="7">
        <f t="shared" si="27"/>
        <v>19055.125</v>
      </c>
      <c r="AF48" s="7">
        <f t="shared" si="27"/>
        <v>19055.125</v>
      </c>
      <c r="AG48" s="7">
        <f t="shared" si="27"/>
        <v>19055.125</v>
      </c>
      <c r="AH48" s="7">
        <f t="shared" si="27"/>
        <v>19055.125</v>
      </c>
      <c r="AI48" s="7">
        <f t="shared" si="27"/>
        <v>0</v>
      </c>
      <c r="AJ48" s="7">
        <f t="shared" si="27"/>
        <v>0</v>
      </c>
      <c r="AK48" s="7">
        <f t="shared" si="27"/>
        <v>0</v>
      </c>
      <c r="AL48" s="7">
        <f t="shared" si="27"/>
        <v>0</v>
      </c>
      <c r="AM48" s="7">
        <f t="shared" si="27"/>
        <v>0</v>
      </c>
      <c r="AN48" s="7">
        <f t="shared" si="27"/>
        <v>0</v>
      </c>
      <c r="AO48" s="7">
        <f t="shared" si="27"/>
        <v>0</v>
      </c>
    </row>
    <row r="49" spans="1:41" x14ac:dyDescent="0.35">
      <c r="A49" s="5" t="s">
        <v>46</v>
      </c>
      <c r="B49" s="5">
        <v>48</v>
      </c>
      <c r="C49" s="7">
        <v>30289810</v>
      </c>
      <c r="D49" s="8">
        <v>0.96439999342000005</v>
      </c>
      <c r="E49" s="6">
        <f t="shared" si="18"/>
        <v>1.9287999868400001</v>
      </c>
      <c r="F49" s="132">
        <f t="shared" si="11"/>
        <v>0.1</v>
      </c>
      <c r="G49" s="128">
        <f t="shared" si="21"/>
        <v>1.0643999934200001</v>
      </c>
      <c r="H49" s="132">
        <f t="shared" si="11"/>
        <v>0.8</v>
      </c>
      <c r="I49" s="128">
        <f t="shared" si="9"/>
        <v>1.7643999934200001</v>
      </c>
      <c r="J49" s="7">
        <v>30289810</v>
      </c>
      <c r="K49" s="7">
        <f t="shared" si="14"/>
        <v>0</v>
      </c>
      <c r="L49" s="133">
        <f t="shared" si="10"/>
        <v>1</v>
      </c>
      <c r="M49" s="7"/>
      <c r="N49" s="6">
        <f t="shared" si="22"/>
        <v>1.66439999342</v>
      </c>
      <c r="O49" s="6">
        <f t="shared" si="23"/>
        <v>1.7</v>
      </c>
      <c r="P49" s="7">
        <f t="shared" si="24"/>
        <v>0</v>
      </c>
      <c r="Q49" s="131" t="str">
        <f t="shared" si="25"/>
        <v/>
      </c>
      <c r="R49" s="7"/>
      <c r="S49" s="7">
        <f t="shared" si="26"/>
        <v>0</v>
      </c>
      <c r="T49" s="7">
        <f t="shared" si="26"/>
        <v>0</v>
      </c>
      <c r="U49" s="7">
        <f t="shared" si="26"/>
        <v>0</v>
      </c>
      <c r="V49" s="7">
        <f t="shared" si="26"/>
        <v>0</v>
      </c>
      <c r="W49" s="7">
        <f t="shared" si="26"/>
        <v>0</v>
      </c>
      <c r="X49" s="7">
        <f t="shared" si="26"/>
        <v>0</v>
      </c>
      <c r="Y49" s="7">
        <f t="shared" si="26"/>
        <v>0</v>
      </c>
      <c r="Z49" s="7">
        <f t="shared" si="26"/>
        <v>0</v>
      </c>
      <c r="AA49" s="7">
        <f t="shared" si="26"/>
        <v>0</v>
      </c>
      <c r="AB49" s="7">
        <f t="shared" si="26"/>
        <v>0</v>
      </c>
      <c r="AC49" s="7">
        <f t="shared" si="27"/>
        <v>0</v>
      </c>
      <c r="AD49" s="7">
        <f t="shared" si="27"/>
        <v>0</v>
      </c>
      <c r="AE49" s="7">
        <f t="shared" si="27"/>
        <v>0</v>
      </c>
      <c r="AF49" s="7">
        <f t="shared" si="27"/>
        <v>0</v>
      </c>
      <c r="AG49" s="7">
        <f t="shared" si="27"/>
        <v>0</v>
      </c>
      <c r="AH49" s="7">
        <f t="shared" si="27"/>
        <v>0</v>
      </c>
      <c r="AI49" s="7">
        <f t="shared" si="27"/>
        <v>0</v>
      </c>
      <c r="AJ49" s="7">
        <f t="shared" si="27"/>
        <v>0</v>
      </c>
      <c r="AK49" s="7">
        <f t="shared" si="27"/>
        <v>0</v>
      </c>
      <c r="AL49" s="7">
        <f t="shared" si="27"/>
        <v>0</v>
      </c>
      <c r="AM49" s="7">
        <f t="shared" si="27"/>
        <v>0</v>
      </c>
      <c r="AN49" s="7">
        <f t="shared" si="27"/>
        <v>0</v>
      </c>
      <c r="AO49" s="7">
        <f t="shared" si="27"/>
        <v>0</v>
      </c>
    </row>
    <row r="50" spans="1:41" x14ac:dyDescent="0.35">
      <c r="A50" s="5" t="s">
        <v>47</v>
      </c>
      <c r="B50" s="5">
        <v>49</v>
      </c>
      <c r="C50" s="7">
        <v>32102</v>
      </c>
      <c r="D50" s="8">
        <v>0.96649998426399997</v>
      </c>
      <c r="E50" s="6">
        <f t="shared" si="18"/>
        <v>1.9329999685279999</v>
      </c>
      <c r="F50" s="132">
        <f t="shared" si="11"/>
        <v>0.1</v>
      </c>
      <c r="G50" s="128">
        <f t="shared" si="21"/>
        <v>1.0664999842639999</v>
      </c>
      <c r="H50" s="132">
        <f t="shared" si="11"/>
        <v>0.8</v>
      </c>
      <c r="I50" s="128">
        <f t="shared" si="9"/>
        <v>1.7664999842640001</v>
      </c>
      <c r="J50" s="7">
        <v>0</v>
      </c>
      <c r="K50" s="7">
        <f t="shared" si="14"/>
        <v>32102</v>
      </c>
      <c r="L50" s="133">
        <f t="shared" si="10"/>
        <v>0</v>
      </c>
      <c r="M50" s="7"/>
      <c r="N50" s="6">
        <f t="shared" si="22"/>
        <v>1.666499984264</v>
      </c>
      <c r="O50" s="6">
        <f t="shared" si="23"/>
        <v>1.7</v>
      </c>
      <c r="P50" s="7">
        <f t="shared" si="24"/>
        <v>2006.375</v>
      </c>
      <c r="Q50" s="131" t="str">
        <f t="shared" si="25"/>
        <v/>
      </c>
      <c r="R50" s="7"/>
      <c r="S50" s="7">
        <f t="shared" si="26"/>
        <v>2006.375</v>
      </c>
      <c r="T50" s="7">
        <f t="shared" si="26"/>
        <v>2006.375</v>
      </c>
      <c r="U50" s="7">
        <f t="shared" si="26"/>
        <v>2006.375</v>
      </c>
      <c r="V50" s="7">
        <f t="shared" si="26"/>
        <v>2006.375</v>
      </c>
      <c r="W50" s="7">
        <f t="shared" si="26"/>
        <v>2006.375</v>
      </c>
      <c r="X50" s="7">
        <f t="shared" si="26"/>
        <v>2006.375</v>
      </c>
      <c r="Y50" s="7">
        <f t="shared" si="26"/>
        <v>2006.375</v>
      </c>
      <c r="Z50" s="7">
        <f t="shared" si="26"/>
        <v>2006.375</v>
      </c>
      <c r="AA50" s="7">
        <f t="shared" si="26"/>
        <v>2006.375</v>
      </c>
      <c r="AB50" s="7">
        <f t="shared" si="26"/>
        <v>2006.375</v>
      </c>
      <c r="AC50" s="7">
        <f t="shared" si="27"/>
        <v>2006.375</v>
      </c>
      <c r="AD50" s="7">
        <f t="shared" si="27"/>
        <v>2006.375</v>
      </c>
      <c r="AE50" s="7">
        <f t="shared" si="27"/>
        <v>2006.375</v>
      </c>
      <c r="AF50" s="7">
        <f t="shared" si="27"/>
        <v>2006.375</v>
      </c>
      <c r="AG50" s="7">
        <f t="shared" si="27"/>
        <v>2006.375</v>
      </c>
      <c r="AH50" s="7">
        <f t="shared" si="27"/>
        <v>2006.375</v>
      </c>
      <c r="AI50" s="7">
        <f t="shared" si="27"/>
        <v>0</v>
      </c>
      <c r="AJ50" s="7">
        <f t="shared" si="27"/>
        <v>0</v>
      </c>
      <c r="AK50" s="7">
        <f t="shared" si="27"/>
        <v>0</v>
      </c>
      <c r="AL50" s="7">
        <f t="shared" si="27"/>
        <v>0</v>
      </c>
      <c r="AM50" s="7">
        <f t="shared" si="27"/>
        <v>0</v>
      </c>
      <c r="AN50" s="7">
        <f t="shared" si="27"/>
        <v>0</v>
      </c>
      <c r="AO50" s="7">
        <f t="shared" si="27"/>
        <v>0</v>
      </c>
    </row>
    <row r="51" spans="1:41" x14ac:dyDescent="0.35">
      <c r="A51" s="5" t="s">
        <v>48</v>
      </c>
      <c r="B51" s="5">
        <v>50</v>
      </c>
      <c r="C51" s="7">
        <v>11241</v>
      </c>
      <c r="D51" s="8">
        <v>1.00670003891</v>
      </c>
      <c r="E51" s="6">
        <f t="shared" si="18"/>
        <v>2.0134000778200001</v>
      </c>
      <c r="F51" s="132">
        <f t="shared" si="11"/>
        <v>0.1</v>
      </c>
      <c r="G51" s="128">
        <f t="shared" si="21"/>
        <v>1.1067000389100001</v>
      </c>
      <c r="H51" s="132">
        <f t="shared" si="11"/>
        <v>0.8</v>
      </c>
      <c r="I51" s="128">
        <f t="shared" si="9"/>
        <v>1.8067000389100001</v>
      </c>
      <c r="J51" s="7">
        <v>0</v>
      </c>
      <c r="K51" s="7">
        <f t="shared" si="14"/>
        <v>11241</v>
      </c>
      <c r="L51" s="133">
        <f t="shared" si="10"/>
        <v>0</v>
      </c>
      <c r="M51" s="7"/>
      <c r="N51" s="6">
        <f t="shared" si="22"/>
        <v>1.70670003891</v>
      </c>
      <c r="O51" s="6">
        <f t="shared" si="23"/>
        <v>1.7</v>
      </c>
      <c r="P51" s="7">
        <f t="shared" si="24"/>
        <v>702.5625</v>
      </c>
      <c r="Q51" s="131" t="str">
        <f t="shared" si="25"/>
        <v/>
      </c>
      <c r="R51" s="7"/>
      <c r="S51" s="7">
        <f t="shared" si="26"/>
        <v>702.5625</v>
      </c>
      <c r="T51" s="7">
        <f t="shared" si="26"/>
        <v>702.5625</v>
      </c>
      <c r="U51" s="7">
        <f t="shared" si="26"/>
        <v>702.5625</v>
      </c>
      <c r="V51" s="7">
        <f t="shared" si="26"/>
        <v>702.5625</v>
      </c>
      <c r="W51" s="7">
        <f t="shared" si="26"/>
        <v>702.5625</v>
      </c>
      <c r="X51" s="7">
        <f t="shared" si="26"/>
        <v>702.5625</v>
      </c>
      <c r="Y51" s="7">
        <f t="shared" si="26"/>
        <v>702.5625</v>
      </c>
      <c r="Z51" s="7">
        <f t="shared" si="26"/>
        <v>702.5625</v>
      </c>
      <c r="AA51" s="7">
        <f t="shared" si="26"/>
        <v>702.5625</v>
      </c>
      <c r="AB51" s="7">
        <f t="shared" si="26"/>
        <v>702.5625</v>
      </c>
      <c r="AC51" s="7">
        <f t="shared" si="27"/>
        <v>702.5625</v>
      </c>
      <c r="AD51" s="7">
        <f t="shared" si="27"/>
        <v>702.5625</v>
      </c>
      <c r="AE51" s="7">
        <f t="shared" si="27"/>
        <v>702.5625</v>
      </c>
      <c r="AF51" s="7">
        <f t="shared" si="27"/>
        <v>702.5625</v>
      </c>
      <c r="AG51" s="7">
        <f t="shared" si="27"/>
        <v>702.5625</v>
      </c>
      <c r="AH51" s="7">
        <f t="shared" si="27"/>
        <v>702.5625</v>
      </c>
      <c r="AI51" s="7">
        <f t="shared" si="27"/>
        <v>0</v>
      </c>
      <c r="AJ51" s="7">
        <f t="shared" si="27"/>
        <v>0</v>
      </c>
      <c r="AK51" s="7">
        <f t="shared" si="27"/>
        <v>0</v>
      </c>
      <c r="AL51" s="7">
        <f t="shared" si="27"/>
        <v>0</v>
      </c>
      <c r="AM51" s="7">
        <f t="shared" si="27"/>
        <v>0</v>
      </c>
      <c r="AN51" s="7">
        <f t="shared" si="27"/>
        <v>0</v>
      </c>
      <c r="AO51" s="7">
        <f t="shared" si="27"/>
        <v>0</v>
      </c>
    </row>
    <row r="52" spans="1:41" x14ac:dyDescent="0.35">
      <c r="A52" s="5" t="s">
        <v>49</v>
      </c>
      <c r="B52" s="5">
        <v>51</v>
      </c>
      <c r="C52" s="7">
        <v>3725718</v>
      </c>
      <c r="D52" s="8">
        <v>1.01329994202</v>
      </c>
      <c r="E52" s="6">
        <f t="shared" si="18"/>
        <v>2.0265998840399999</v>
      </c>
      <c r="F52" s="132">
        <f t="shared" si="11"/>
        <v>0.1</v>
      </c>
      <c r="G52" s="128">
        <f t="shared" si="21"/>
        <v>1.11329994202</v>
      </c>
      <c r="H52" s="132">
        <f t="shared" si="11"/>
        <v>0.8</v>
      </c>
      <c r="I52" s="128">
        <f t="shared" si="9"/>
        <v>1.81329994202</v>
      </c>
      <c r="J52" s="7">
        <v>2516768</v>
      </c>
      <c r="K52" s="7">
        <f t="shared" si="14"/>
        <v>1208950</v>
      </c>
      <c r="L52" s="133">
        <f t="shared" si="10"/>
        <v>0.67551220999549622</v>
      </c>
      <c r="M52" s="7"/>
      <c r="N52" s="6">
        <f t="shared" si="22"/>
        <v>1.7132999420199999</v>
      </c>
      <c r="O52" s="6">
        <f t="shared" si="23"/>
        <v>1.7</v>
      </c>
      <c r="P52" s="7">
        <f t="shared" si="24"/>
        <v>75559.375</v>
      </c>
      <c r="Q52" s="131" t="str">
        <f t="shared" si="25"/>
        <v/>
      </c>
      <c r="R52" s="7"/>
      <c r="S52" s="7">
        <f t="shared" ref="S52:AB61" si="28">IF($P52=0,0,IF(S$1&lt;=$O52,$P52,0))</f>
        <v>75559.375</v>
      </c>
      <c r="T52" s="7">
        <f t="shared" si="28"/>
        <v>75559.375</v>
      </c>
      <c r="U52" s="7">
        <f t="shared" si="28"/>
        <v>75559.375</v>
      </c>
      <c r="V52" s="7">
        <f t="shared" si="28"/>
        <v>75559.375</v>
      </c>
      <c r="W52" s="7">
        <f t="shared" si="28"/>
        <v>75559.375</v>
      </c>
      <c r="X52" s="7">
        <f t="shared" si="28"/>
        <v>75559.375</v>
      </c>
      <c r="Y52" s="7">
        <f t="shared" si="28"/>
        <v>75559.375</v>
      </c>
      <c r="Z52" s="7">
        <f t="shared" si="28"/>
        <v>75559.375</v>
      </c>
      <c r="AA52" s="7">
        <f t="shared" si="28"/>
        <v>75559.375</v>
      </c>
      <c r="AB52" s="7">
        <f t="shared" si="28"/>
        <v>75559.375</v>
      </c>
      <c r="AC52" s="7">
        <f t="shared" ref="AC52:AO61" si="29">IF($P52=0,0,IF(AC$1&lt;=$O52,$P52,0))</f>
        <v>75559.375</v>
      </c>
      <c r="AD52" s="7">
        <f t="shared" si="29"/>
        <v>75559.375</v>
      </c>
      <c r="AE52" s="7">
        <f t="shared" si="29"/>
        <v>75559.375</v>
      </c>
      <c r="AF52" s="7">
        <f t="shared" si="29"/>
        <v>75559.375</v>
      </c>
      <c r="AG52" s="7">
        <f t="shared" si="29"/>
        <v>75559.375</v>
      </c>
      <c r="AH52" s="7">
        <f t="shared" si="29"/>
        <v>75559.375</v>
      </c>
      <c r="AI52" s="7">
        <f t="shared" si="29"/>
        <v>0</v>
      </c>
      <c r="AJ52" s="7">
        <f t="shared" si="29"/>
        <v>0</v>
      </c>
      <c r="AK52" s="7">
        <f t="shared" si="29"/>
        <v>0</v>
      </c>
      <c r="AL52" s="7">
        <f t="shared" si="29"/>
        <v>0</v>
      </c>
      <c r="AM52" s="7">
        <f t="shared" si="29"/>
        <v>0</v>
      </c>
      <c r="AN52" s="7">
        <f t="shared" si="29"/>
        <v>0</v>
      </c>
      <c r="AO52" s="7">
        <f t="shared" si="29"/>
        <v>0</v>
      </c>
    </row>
    <row r="53" spans="1:41" s="125" customFormat="1" x14ac:dyDescent="0.35">
      <c r="A53" s="125" t="s">
        <v>50</v>
      </c>
      <c r="B53" s="125">
        <v>52</v>
      </c>
      <c r="C53" s="124">
        <v>7617332</v>
      </c>
      <c r="D53" s="137">
        <v>1.02779996395</v>
      </c>
      <c r="E53" s="126">
        <f t="shared" si="18"/>
        <v>2.0555999278999999</v>
      </c>
      <c r="F53" s="126">
        <f t="shared" si="11"/>
        <v>0.1</v>
      </c>
      <c r="G53" s="126">
        <f t="shared" si="21"/>
        <v>1.12779996395</v>
      </c>
      <c r="H53" s="126">
        <f t="shared" si="11"/>
        <v>0.8</v>
      </c>
      <c r="I53" s="126">
        <f t="shared" si="9"/>
        <v>1.82779996395</v>
      </c>
      <c r="J53" s="124">
        <v>7617332</v>
      </c>
      <c r="K53" s="124">
        <f t="shared" si="14"/>
        <v>0</v>
      </c>
      <c r="L53" s="134">
        <f t="shared" si="10"/>
        <v>1</v>
      </c>
      <c r="M53" s="124"/>
      <c r="N53" s="126">
        <f t="shared" si="22"/>
        <v>1.7277999639499999</v>
      </c>
      <c r="O53" s="126">
        <f t="shared" si="23"/>
        <v>1.7</v>
      </c>
      <c r="P53" s="124">
        <f t="shared" si="24"/>
        <v>0</v>
      </c>
      <c r="Q53" s="124" t="str">
        <f t="shared" si="25"/>
        <v/>
      </c>
      <c r="R53" s="124"/>
      <c r="S53" s="124">
        <f t="shared" si="28"/>
        <v>0</v>
      </c>
      <c r="T53" s="124">
        <f t="shared" si="28"/>
        <v>0</v>
      </c>
      <c r="U53" s="124">
        <f t="shared" si="28"/>
        <v>0</v>
      </c>
      <c r="V53" s="124">
        <f t="shared" si="28"/>
        <v>0</v>
      </c>
      <c r="W53" s="124">
        <f t="shared" si="28"/>
        <v>0</v>
      </c>
      <c r="X53" s="124">
        <f t="shared" si="28"/>
        <v>0</v>
      </c>
      <c r="Y53" s="124">
        <f t="shared" si="28"/>
        <v>0</v>
      </c>
      <c r="Z53" s="124">
        <f t="shared" si="28"/>
        <v>0</v>
      </c>
      <c r="AA53" s="124">
        <f t="shared" si="28"/>
        <v>0</v>
      </c>
      <c r="AB53" s="124">
        <f t="shared" si="28"/>
        <v>0</v>
      </c>
      <c r="AC53" s="124">
        <f t="shared" si="29"/>
        <v>0</v>
      </c>
      <c r="AD53" s="124">
        <f t="shared" si="29"/>
        <v>0</v>
      </c>
      <c r="AE53" s="124">
        <f t="shared" si="29"/>
        <v>0</v>
      </c>
      <c r="AF53" s="124">
        <f t="shared" si="29"/>
        <v>0</v>
      </c>
      <c r="AG53" s="124">
        <f t="shared" si="29"/>
        <v>0</v>
      </c>
      <c r="AH53" s="124">
        <f t="shared" si="29"/>
        <v>0</v>
      </c>
      <c r="AI53" s="124">
        <f t="shared" si="29"/>
        <v>0</v>
      </c>
      <c r="AJ53" s="124">
        <f t="shared" si="29"/>
        <v>0</v>
      </c>
      <c r="AK53" s="124">
        <f t="shared" si="29"/>
        <v>0</v>
      </c>
      <c r="AL53" s="124">
        <f t="shared" si="29"/>
        <v>0</v>
      </c>
      <c r="AM53" s="124">
        <f t="shared" si="29"/>
        <v>0</v>
      </c>
      <c r="AN53" s="124">
        <f t="shared" si="29"/>
        <v>0</v>
      </c>
      <c r="AO53" s="124">
        <f t="shared" si="29"/>
        <v>0</v>
      </c>
    </row>
    <row r="54" spans="1:41" x14ac:dyDescent="0.35">
      <c r="A54" s="5" t="s">
        <v>51</v>
      </c>
      <c r="B54" s="5">
        <v>53</v>
      </c>
      <c r="C54" s="7">
        <v>1035037</v>
      </c>
      <c r="D54" s="8">
        <v>1.0470999479300001</v>
      </c>
      <c r="E54" s="6">
        <f t="shared" si="18"/>
        <v>2.0941998958600001</v>
      </c>
      <c r="F54" s="132">
        <f t="shared" si="11"/>
        <v>0.1</v>
      </c>
      <c r="G54" s="128">
        <f t="shared" si="21"/>
        <v>1.1470999479300001</v>
      </c>
      <c r="H54" s="132">
        <f t="shared" si="11"/>
        <v>0.8</v>
      </c>
      <c r="I54" s="128">
        <f t="shared" si="9"/>
        <v>1.8470999479300001</v>
      </c>
      <c r="J54" s="7">
        <v>261011</v>
      </c>
      <c r="K54" s="7">
        <f t="shared" si="14"/>
        <v>774026</v>
      </c>
      <c r="L54" s="133">
        <f t="shared" si="10"/>
        <v>0.25217552609230393</v>
      </c>
      <c r="M54" s="7"/>
      <c r="N54" s="6">
        <f t="shared" si="22"/>
        <v>1.74709994793</v>
      </c>
      <c r="O54" s="6">
        <f t="shared" si="23"/>
        <v>1.7</v>
      </c>
      <c r="P54" s="7">
        <f t="shared" si="24"/>
        <v>48376.625</v>
      </c>
      <c r="Q54" s="131" t="str">
        <f t="shared" si="25"/>
        <v/>
      </c>
      <c r="R54" s="7"/>
      <c r="S54" s="7">
        <f t="shared" si="28"/>
        <v>48376.625</v>
      </c>
      <c r="T54" s="7">
        <f t="shared" si="28"/>
        <v>48376.625</v>
      </c>
      <c r="U54" s="7">
        <f t="shared" si="28"/>
        <v>48376.625</v>
      </c>
      <c r="V54" s="7">
        <f t="shared" si="28"/>
        <v>48376.625</v>
      </c>
      <c r="W54" s="7">
        <f t="shared" si="28"/>
        <v>48376.625</v>
      </c>
      <c r="X54" s="7">
        <f t="shared" si="28"/>
        <v>48376.625</v>
      </c>
      <c r="Y54" s="7">
        <f t="shared" si="28"/>
        <v>48376.625</v>
      </c>
      <c r="Z54" s="7">
        <f t="shared" si="28"/>
        <v>48376.625</v>
      </c>
      <c r="AA54" s="7">
        <f t="shared" si="28"/>
        <v>48376.625</v>
      </c>
      <c r="AB54" s="7">
        <f t="shared" si="28"/>
        <v>48376.625</v>
      </c>
      <c r="AC54" s="7">
        <f t="shared" si="29"/>
        <v>48376.625</v>
      </c>
      <c r="AD54" s="7">
        <f t="shared" si="29"/>
        <v>48376.625</v>
      </c>
      <c r="AE54" s="7">
        <f t="shared" si="29"/>
        <v>48376.625</v>
      </c>
      <c r="AF54" s="7">
        <f t="shared" si="29"/>
        <v>48376.625</v>
      </c>
      <c r="AG54" s="7">
        <f t="shared" si="29"/>
        <v>48376.625</v>
      </c>
      <c r="AH54" s="7">
        <f t="shared" si="29"/>
        <v>48376.625</v>
      </c>
      <c r="AI54" s="7">
        <f t="shared" si="29"/>
        <v>0</v>
      </c>
      <c r="AJ54" s="7">
        <f t="shared" si="29"/>
        <v>0</v>
      </c>
      <c r="AK54" s="7">
        <f t="shared" si="29"/>
        <v>0</v>
      </c>
      <c r="AL54" s="7">
        <f t="shared" si="29"/>
        <v>0</v>
      </c>
      <c r="AM54" s="7">
        <f t="shared" si="29"/>
        <v>0</v>
      </c>
      <c r="AN54" s="7">
        <f t="shared" si="29"/>
        <v>0</v>
      </c>
      <c r="AO54" s="7">
        <f t="shared" si="29"/>
        <v>0</v>
      </c>
    </row>
    <row r="55" spans="1:41" x14ac:dyDescent="0.35">
      <c r="A55" s="5" t="s">
        <v>52</v>
      </c>
      <c r="B55" s="5">
        <v>54</v>
      </c>
      <c r="C55" s="7">
        <v>2477592</v>
      </c>
      <c r="D55" s="8">
        <v>1.0363999605200001</v>
      </c>
      <c r="E55" s="6">
        <f t="shared" si="18"/>
        <v>2.0727999210400001</v>
      </c>
      <c r="F55" s="132">
        <f t="shared" si="11"/>
        <v>0.1</v>
      </c>
      <c r="G55" s="128">
        <f t="shared" si="21"/>
        <v>1.1363999605200001</v>
      </c>
      <c r="H55" s="132">
        <f t="shared" si="11"/>
        <v>0.8</v>
      </c>
      <c r="I55" s="128">
        <f t="shared" si="9"/>
        <v>1.8363999605200001</v>
      </c>
      <c r="J55" s="7">
        <v>1718647</v>
      </c>
      <c r="K55" s="7">
        <f t="shared" si="14"/>
        <v>758945</v>
      </c>
      <c r="L55" s="133">
        <f t="shared" si="10"/>
        <v>0.69367635994949939</v>
      </c>
      <c r="M55" s="7"/>
      <c r="N55" s="6">
        <f t="shared" si="22"/>
        <v>1.73639996052</v>
      </c>
      <c r="O55" s="6">
        <f t="shared" si="23"/>
        <v>1.7</v>
      </c>
      <c r="P55" s="7">
        <f t="shared" si="24"/>
        <v>47434.0625</v>
      </c>
      <c r="Q55" s="131" t="str">
        <f t="shared" si="25"/>
        <v/>
      </c>
      <c r="R55" s="7"/>
      <c r="S55" s="7">
        <f t="shared" si="28"/>
        <v>47434.0625</v>
      </c>
      <c r="T55" s="7">
        <f t="shared" si="28"/>
        <v>47434.0625</v>
      </c>
      <c r="U55" s="7">
        <f t="shared" si="28"/>
        <v>47434.0625</v>
      </c>
      <c r="V55" s="7">
        <f t="shared" si="28"/>
        <v>47434.0625</v>
      </c>
      <c r="W55" s="7">
        <f t="shared" si="28"/>
        <v>47434.0625</v>
      </c>
      <c r="X55" s="7">
        <f t="shared" si="28"/>
        <v>47434.0625</v>
      </c>
      <c r="Y55" s="7">
        <f t="shared" si="28"/>
        <v>47434.0625</v>
      </c>
      <c r="Z55" s="7">
        <f t="shared" si="28"/>
        <v>47434.0625</v>
      </c>
      <c r="AA55" s="7">
        <f t="shared" si="28"/>
        <v>47434.0625</v>
      </c>
      <c r="AB55" s="7">
        <f t="shared" si="28"/>
        <v>47434.0625</v>
      </c>
      <c r="AC55" s="7">
        <f t="shared" si="29"/>
        <v>47434.0625</v>
      </c>
      <c r="AD55" s="7">
        <f t="shared" si="29"/>
        <v>47434.0625</v>
      </c>
      <c r="AE55" s="7">
        <f t="shared" si="29"/>
        <v>47434.0625</v>
      </c>
      <c r="AF55" s="7">
        <f t="shared" si="29"/>
        <v>47434.0625</v>
      </c>
      <c r="AG55" s="7">
        <f t="shared" si="29"/>
        <v>47434.0625</v>
      </c>
      <c r="AH55" s="7">
        <f t="shared" si="29"/>
        <v>47434.0625</v>
      </c>
      <c r="AI55" s="7">
        <f t="shared" si="29"/>
        <v>0</v>
      </c>
      <c r="AJ55" s="7">
        <f t="shared" si="29"/>
        <v>0</v>
      </c>
      <c r="AK55" s="7">
        <f t="shared" si="29"/>
        <v>0</v>
      </c>
      <c r="AL55" s="7">
        <f t="shared" si="29"/>
        <v>0</v>
      </c>
      <c r="AM55" s="7">
        <f t="shared" si="29"/>
        <v>0</v>
      </c>
      <c r="AN55" s="7">
        <f t="shared" si="29"/>
        <v>0</v>
      </c>
      <c r="AO55" s="7">
        <f t="shared" si="29"/>
        <v>0</v>
      </c>
    </row>
    <row r="56" spans="1:41" x14ac:dyDescent="0.35">
      <c r="A56" s="5" t="s">
        <v>53</v>
      </c>
      <c r="B56" s="5">
        <v>55</v>
      </c>
      <c r="C56" s="7">
        <v>201832</v>
      </c>
      <c r="D56" s="8">
        <v>1.0701999664299999</v>
      </c>
      <c r="E56" s="6">
        <f t="shared" si="18"/>
        <v>2.1403999328599999</v>
      </c>
      <c r="F56" s="132">
        <f t="shared" si="11"/>
        <v>0.1</v>
      </c>
      <c r="G56" s="128">
        <f t="shared" si="21"/>
        <v>1.17019996643</v>
      </c>
      <c r="H56" s="132">
        <f t="shared" si="11"/>
        <v>0.8</v>
      </c>
      <c r="I56" s="128">
        <f t="shared" si="9"/>
        <v>1.87019996643</v>
      </c>
      <c r="J56" s="7">
        <v>0</v>
      </c>
      <c r="K56" s="7">
        <f t="shared" si="14"/>
        <v>201832</v>
      </c>
      <c r="L56" s="133">
        <f t="shared" si="10"/>
        <v>0</v>
      </c>
      <c r="M56" s="7"/>
      <c r="N56" s="6">
        <f t="shared" si="22"/>
        <v>1.7701999664299999</v>
      </c>
      <c r="O56" s="6">
        <f t="shared" si="23"/>
        <v>1.8</v>
      </c>
      <c r="P56" s="7">
        <f t="shared" si="24"/>
        <v>11872.470588235294</v>
      </c>
      <c r="Q56" s="131" t="str">
        <f t="shared" si="25"/>
        <v/>
      </c>
      <c r="R56" s="7"/>
      <c r="S56" s="7">
        <f t="shared" si="28"/>
        <v>11872.470588235294</v>
      </c>
      <c r="T56" s="7">
        <f t="shared" si="28"/>
        <v>11872.470588235294</v>
      </c>
      <c r="U56" s="7">
        <f t="shared" si="28"/>
        <v>11872.470588235294</v>
      </c>
      <c r="V56" s="7">
        <f t="shared" si="28"/>
        <v>11872.470588235294</v>
      </c>
      <c r="W56" s="7">
        <f t="shared" si="28"/>
        <v>11872.470588235294</v>
      </c>
      <c r="X56" s="7">
        <f t="shared" si="28"/>
        <v>11872.470588235294</v>
      </c>
      <c r="Y56" s="7">
        <f t="shared" si="28"/>
        <v>11872.470588235294</v>
      </c>
      <c r="Z56" s="7">
        <f t="shared" si="28"/>
        <v>11872.470588235294</v>
      </c>
      <c r="AA56" s="7">
        <f t="shared" si="28"/>
        <v>11872.470588235294</v>
      </c>
      <c r="AB56" s="7">
        <f t="shared" si="28"/>
        <v>11872.470588235294</v>
      </c>
      <c r="AC56" s="7">
        <f t="shared" si="29"/>
        <v>11872.470588235294</v>
      </c>
      <c r="AD56" s="7">
        <f t="shared" si="29"/>
        <v>11872.470588235294</v>
      </c>
      <c r="AE56" s="7">
        <f t="shared" si="29"/>
        <v>11872.470588235294</v>
      </c>
      <c r="AF56" s="7">
        <f t="shared" si="29"/>
        <v>11872.470588235294</v>
      </c>
      <c r="AG56" s="7">
        <f t="shared" si="29"/>
        <v>11872.470588235294</v>
      </c>
      <c r="AH56" s="7">
        <f t="shared" si="29"/>
        <v>11872.470588235294</v>
      </c>
      <c r="AI56" s="7">
        <f t="shared" si="29"/>
        <v>11872.470588235294</v>
      </c>
      <c r="AJ56" s="7">
        <f t="shared" si="29"/>
        <v>0</v>
      </c>
      <c r="AK56" s="7">
        <f t="shared" si="29"/>
        <v>0</v>
      </c>
      <c r="AL56" s="7">
        <f t="shared" si="29"/>
        <v>0</v>
      </c>
      <c r="AM56" s="7">
        <f t="shared" si="29"/>
        <v>0</v>
      </c>
      <c r="AN56" s="7">
        <f t="shared" si="29"/>
        <v>0</v>
      </c>
      <c r="AO56" s="7">
        <f t="shared" si="29"/>
        <v>0</v>
      </c>
    </row>
    <row r="57" spans="1:41" x14ac:dyDescent="0.35">
      <c r="A57" s="5" t="s">
        <v>54</v>
      </c>
      <c r="B57" s="5">
        <v>56</v>
      </c>
      <c r="C57" s="7">
        <v>1110912</v>
      </c>
      <c r="D57" s="13">
        <v>1.05879998207</v>
      </c>
      <c r="E57" s="6">
        <f t="shared" si="18"/>
        <v>2.1175999641400001</v>
      </c>
      <c r="F57" s="132">
        <f t="shared" si="11"/>
        <v>0.1</v>
      </c>
      <c r="G57" s="128">
        <f t="shared" si="21"/>
        <v>1.1587999820700001</v>
      </c>
      <c r="H57" s="132">
        <f t="shared" si="11"/>
        <v>0.8</v>
      </c>
      <c r="I57" s="128">
        <f t="shared" si="9"/>
        <v>1.8587999820700001</v>
      </c>
      <c r="J57" s="7">
        <v>692191</v>
      </c>
      <c r="K57" s="7">
        <f t="shared" si="14"/>
        <v>418721</v>
      </c>
      <c r="L57" s="133">
        <f t="shared" si="10"/>
        <v>0.62308355657333792</v>
      </c>
      <c r="M57" s="7"/>
      <c r="N57" s="6">
        <f t="shared" si="22"/>
        <v>1.75879998207</v>
      </c>
      <c r="O57" s="6">
        <f t="shared" si="23"/>
        <v>1.8</v>
      </c>
      <c r="P57" s="7">
        <f t="shared" si="24"/>
        <v>24630.647058823528</v>
      </c>
      <c r="Q57" s="131" t="str">
        <f t="shared" si="25"/>
        <v/>
      </c>
      <c r="R57" s="7"/>
      <c r="S57" s="7">
        <f t="shared" si="28"/>
        <v>24630.647058823528</v>
      </c>
      <c r="T57" s="7">
        <f t="shared" si="28"/>
        <v>24630.647058823528</v>
      </c>
      <c r="U57" s="7">
        <f t="shared" si="28"/>
        <v>24630.647058823528</v>
      </c>
      <c r="V57" s="7">
        <f t="shared" si="28"/>
        <v>24630.647058823528</v>
      </c>
      <c r="W57" s="7">
        <f t="shared" si="28"/>
        <v>24630.647058823528</v>
      </c>
      <c r="X57" s="7">
        <f t="shared" si="28"/>
        <v>24630.647058823528</v>
      </c>
      <c r="Y57" s="7">
        <f t="shared" si="28"/>
        <v>24630.647058823528</v>
      </c>
      <c r="Z57" s="7">
        <f t="shared" si="28"/>
        <v>24630.647058823528</v>
      </c>
      <c r="AA57" s="7">
        <f t="shared" si="28"/>
        <v>24630.647058823528</v>
      </c>
      <c r="AB57" s="7">
        <f t="shared" si="28"/>
        <v>24630.647058823528</v>
      </c>
      <c r="AC57" s="7">
        <f t="shared" si="29"/>
        <v>24630.647058823528</v>
      </c>
      <c r="AD57" s="7">
        <f t="shared" si="29"/>
        <v>24630.647058823528</v>
      </c>
      <c r="AE57" s="7">
        <f t="shared" si="29"/>
        <v>24630.647058823528</v>
      </c>
      <c r="AF57" s="7">
        <f t="shared" si="29"/>
        <v>24630.647058823528</v>
      </c>
      <c r="AG57" s="7">
        <f t="shared" si="29"/>
        <v>24630.647058823528</v>
      </c>
      <c r="AH57" s="7">
        <f t="shared" si="29"/>
        <v>24630.647058823528</v>
      </c>
      <c r="AI57" s="7">
        <f t="shared" si="29"/>
        <v>24630.647058823528</v>
      </c>
      <c r="AJ57" s="7">
        <f t="shared" si="29"/>
        <v>0</v>
      </c>
      <c r="AK57" s="7">
        <f t="shared" si="29"/>
        <v>0</v>
      </c>
      <c r="AL57" s="7">
        <f t="shared" si="29"/>
        <v>0</v>
      </c>
      <c r="AM57" s="7">
        <f t="shared" si="29"/>
        <v>0</v>
      </c>
      <c r="AN57" s="7">
        <f t="shared" si="29"/>
        <v>0</v>
      </c>
      <c r="AO57" s="7">
        <f t="shared" si="29"/>
        <v>0</v>
      </c>
    </row>
    <row r="58" spans="1:41" x14ac:dyDescent="0.35">
      <c r="A58" s="5" t="s">
        <v>55</v>
      </c>
      <c r="B58" s="5">
        <v>57</v>
      </c>
      <c r="C58" s="7">
        <v>394301</v>
      </c>
      <c r="D58" s="8">
        <v>1.0759999752</v>
      </c>
      <c r="E58" s="6">
        <f t="shared" si="18"/>
        <v>2.1519999504</v>
      </c>
      <c r="F58" s="132">
        <f t="shared" si="11"/>
        <v>0.1</v>
      </c>
      <c r="G58" s="128">
        <f t="shared" si="21"/>
        <v>1.1759999752000001</v>
      </c>
      <c r="H58" s="132">
        <f t="shared" si="11"/>
        <v>0.8</v>
      </c>
      <c r="I58" s="128">
        <f t="shared" si="9"/>
        <v>1.8759999752000001</v>
      </c>
      <c r="J58" s="7">
        <v>0</v>
      </c>
      <c r="K58" s="7">
        <f t="shared" si="14"/>
        <v>394301</v>
      </c>
      <c r="L58" s="133">
        <f t="shared" si="10"/>
        <v>0</v>
      </c>
      <c r="M58" s="7"/>
      <c r="N58" s="6">
        <f t="shared" si="22"/>
        <v>1.7759999752</v>
      </c>
      <c r="O58" s="6">
        <f t="shared" si="23"/>
        <v>1.8</v>
      </c>
      <c r="P58" s="7">
        <f t="shared" si="24"/>
        <v>23194.176470588234</v>
      </c>
      <c r="Q58" s="131" t="str">
        <f t="shared" si="25"/>
        <v/>
      </c>
      <c r="R58" s="7"/>
      <c r="S58" s="7">
        <f t="shared" si="28"/>
        <v>23194.176470588234</v>
      </c>
      <c r="T58" s="7">
        <f t="shared" si="28"/>
        <v>23194.176470588234</v>
      </c>
      <c r="U58" s="7">
        <f t="shared" si="28"/>
        <v>23194.176470588234</v>
      </c>
      <c r="V58" s="7">
        <f t="shared" si="28"/>
        <v>23194.176470588234</v>
      </c>
      <c r="W58" s="7">
        <f t="shared" si="28"/>
        <v>23194.176470588234</v>
      </c>
      <c r="X58" s="7">
        <f t="shared" si="28"/>
        <v>23194.176470588234</v>
      </c>
      <c r="Y58" s="7">
        <f t="shared" si="28"/>
        <v>23194.176470588234</v>
      </c>
      <c r="Z58" s="7">
        <f t="shared" si="28"/>
        <v>23194.176470588234</v>
      </c>
      <c r="AA58" s="7">
        <f t="shared" si="28"/>
        <v>23194.176470588234</v>
      </c>
      <c r="AB58" s="7">
        <f t="shared" si="28"/>
        <v>23194.176470588234</v>
      </c>
      <c r="AC58" s="7">
        <f t="shared" si="29"/>
        <v>23194.176470588234</v>
      </c>
      <c r="AD58" s="7">
        <f t="shared" si="29"/>
        <v>23194.176470588234</v>
      </c>
      <c r="AE58" s="7">
        <f t="shared" si="29"/>
        <v>23194.176470588234</v>
      </c>
      <c r="AF58" s="7">
        <f t="shared" si="29"/>
        <v>23194.176470588234</v>
      </c>
      <c r="AG58" s="7">
        <f t="shared" si="29"/>
        <v>23194.176470588234</v>
      </c>
      <c r="AH58" s="7">
        <f t="shared" si="29"/>
        <v>23194.176470588234</v>
      </c>
      <c r="AI58" s="7">
        <f t="shared" si="29"/>
        <v>23194.176470588234</v>
      </c>
      <c r="AJ58" s="7">
        <f t="shared" si="29"/>
        <v>0</v>
      </c>
      <c r="AK58" s="7">
        <f t="shared" si="29"/>
        <v>0</v>
      </c>
      <c r="AL58" s="7">
        <f t="shared" si="29"/>
        <v>0</v>
      </c>
      <c r="AM58" s="7">
        <f t="shared" si="29"/>
        <v>0</v>
      </c>
      <c r="AN58" s="7">
        <f t="shared" si="29"/>
        <v>0</v>
      </c>
      <c r="AO58" s="7">
        <f t="shared" si="29"/>
        <v>0</v>
      </c>
    </row>
    <row r="59" spans="1:41" x14ac:dyDescent="0.35">
      <c r="A59" s="5" t="s">
        <v>56</v>
      </c>
      <c r="B59" s="5">
        <v>58</v>
      </c>
      <c r="C59" s="7">
        <v>108165</v>
      </c>
      <c r="D59" s="8">
        <v>1.0885000228899999</v>
      </c>
      <c r="E59" s="6">
        <f t="shared" si="18"/>
        <v>2.1770000457799998</v>
      </c>
      <c r="F59" s="132">
        <f t="shared" si="11"/>
        <v>0.1</v>
      </c>
      <c r="G59" s="128">
        <f t="shared" si="21"/>
        <v>1.18850002289</v>
      </c>
      <c r="H59" s="132">
        <f t="shared" si="11"/>
        <v>0.8</v>
      </c>
      <c r="I59" s="128">
        <f t="shared" si="9"/>
        <v>1.88850002289</v>
      </c>
      <c r="J59" s="7">
        <v>0</v>
      </c>
      <c r="K59" s="7">
        <f t="shared" si="14"/>
        <v>108165</v>
      </c>
      <c r="L59" s="133">
        <f t="shared" si="10"/>
        <v>0</v>
      </c>
      <c r="M59" s="7"/>
      <c r="N59" s="6">
        <f t="shared" si="22"/>
        <v>1.7885000228899999</v>
      </c>
      <c r="O59" s="6">
        <f t="shared" si="23"/>
        <v>1.8</v>
      </c>
      <c r="P59" s="7">
        <f t="shared" si="24"/>
        <v>6362.6470588235297</v>
      </c>
      <c r="Q59" s="131" t="str">
        <f t="shared" si="25"/>
        <v/>
      </c>
      <c r="R59" s="7"/>
      <c r="S59" s="7">
        <f t="shared" si="28"/>
        <v>6362.6470588235297</v>
      </c>
      <c r="T59" s="7">
        <f t="shared" si="28"/>
        <v>6362.6470588235297</v>
      </c>
      <c r="U59" s="7">
        <f t="shared" si="28"/>
        <v>6362.6470588235297</v>
      </c>
      <c r="V59" s="7">
        <f t="shared" si="28"/>
        <v>6362.6470588235297</v>
      </c>
      <c r="W59" s="7">
        <f t="shared" si="28"/>
        <v>6362.6470588235297</v>
      </c>
      <c r="X59" s="7">
        <f t="shared" si="28"/>
        <v>6362.6470588235297</v>
      </c>
      <c r="Y59" s="7">
        <f t="shared" si="28"/>
        <v>6362.6470588235297</v>
      </c>
      <c r="Z59" s="7">
        <f t="shared" si="28"/>
        <v>6362.6470588235297</v>
      </c>
      <c r="AA59" s="7">
        <f t="shared" si="28"/>
        <v>6362.6470588235297</v>
      </c>
      <c r="AB59" s="7">
        <f t="shared" si="28"/>
        <v>6362.6470588235297</v>
      </c>
      <c r="AC59" s="7">
        <f t="shared" si="29"/>
        <v>6362.6470588235297</v>
      </c>
      <c r="AD59" s="7">
        <f t="shared" si="29"/>
        <v>6362.6470588235297</v>
      </c>
      <c r="AE59" s="7">
        <f t="shared" si="29"/>
        <v>6362.6470588235297</v>
      </c>
      <c r="AF59" s="7">
        <f t="shared" si="29"/>
        <v>6362.6470588235297</v>
      </c>
      <c r="AG59" s="7">
        <f t="shared" si="29"/>
        <v>6362.6470588235297</v>
      </c>
      <c r="AH59" s="7">
        <f t="shared" si="29"/>
        <v>6362.6470588235297</v>
      </c>
      <c r="AI59" s="7">
        <f t="shared" si="29"/>
        <v>6362.6470588235297</v>
      </c>
      <c r="AJ59" s="7">
        <f t="shared" si="29"/>
        <v>0</v>
      </c>
      <c r="AK59" s="7">
        <f t="shared" si="29"/>
        <v>0</v>
      </c>
      <c r="AL59" s="7">
        <f t="shared" si="29"/>
        <v>0</v>
      </c>
      <c r="AM59" s="7">
        <f t="shared" si="29"/>
        <v>0</v>
      </c>
      <c r="AN59" s="7">
        <f t="shared" si="29"/>
        <v>0</v>
      </c>
      <c r="AO59" s="7">
        <f t="shared" si="29"/>
        <v>0</v>
      </c>
    </row>
    <row r="60" spans="1:41" s="9" customFormat="1" x14ac:dyDescent="0.35">
      <c r="A60" s="9" t="s">
        <v>57</v>
      </c>
      <c r="B60" s="9">
        <v>59</v>
      </c>
      <c r="C60" s="11">
        <v>263852</v>
      </c>
      <c r="D60" s="14">
        <v>1.1028000116300001</v>
      </c>
      <c r="E60" s="10">
        <f t="shared" si="18"/>
        <v>2.2056000232600002</v>
      </c>
      <c r="F60" s="132">
        <f t="shared" si="11"/>
        <v>0.1</v>
      </c>
      <c r="G60" s="128">
        <f t="shared" si="21"/>
        <v>1.2028000116300002</v>
      </c>
      <c r="H60" s="132">
        <f t="shared" si="11"/>
        <v>0.8</v>
      </c>
      <c r="I60" s="128">
        <f t="shared" si="9"/>
        <v>1.9028000116300001</v>
      </c>
      <c r="J60" s="7">
        <v>0</v>
      </c>
      <c r="K60" s="7">
        <f t="shared" si="14"/>
        <v>263852</v>
      </c>
      <c r="L60" s="133">
        <f t="shared" si="10"/>
        <v>0</v>
      </c>
      <c r="M60" s="7"/>
      <c r="N60" s="6">
        <f t="shared" si="22"/>
        <v>1.80280001163</v>
      </c>
      <c r="O60" s="6">
        <f t="shared" si="23"/>
        <v>1.8</v>
      </c>
      <c r="P60" s="7">
        <f t="shared" si="24"/>
        <v>15520.705882352941</v>
      </c>
      <c r="Q60" s="131" t="str">
        <f t="shared" si="25"/>
        <v/>
      </c>
      <c r="R60" s="7"/>
      <c r="S60" s="7">
        <f t="shared" si="28"/>
        <v>15520.705882352941</v>
      </c>
      <c r="T60" s="7">
        <f t="shared" si="28"/>
        <v>15520.705882352941</v>
      </c>
      <c r="U60" s="7">
        <f t="shared" si="28"/>
        <v>15520.705882352941</v>
      </c>
      <c r="V60" s="7">
        <f t="shared" si="28"/>
        <v>15520.705882352941</v>
      </c>
      <c r="W60" s="7">
        <f t="shared" si="28"/>
        <v>15520.705882352941</v>
      </c>
      <c r="X60" s="7">
        <f t="shared" si="28"/>
        <v>15520.705882352941</v>
      </c>
      <c r="Y60" s="7">
        <f t="shared" si="28"/>
        <v>15520.705882352941</v>
      </c>
      <c r="Z60" s="7">
        <f t="shared" si="28"/>
        <v>15520.705882352941</v>
      </c>
      <c r="AA60" s="7">
        <f t="shared" si="28"/>
        <v>15520.705882352941</v>
      </c>
      <c r="AB60" s="7">
        <f t="shared" si="28"/>
        <v>15520.705882352941</v>
      </c>
      <c r="AC60" s="7">
        <f t="shared" si="29"/>
        <v>15520.705882352941</v>
      </c>
      <c r="AD60" s="7">
        <f t="shared" si="29"/>
        <v>15520.705882352941</v>
      </c>
      <c r="AE60" s="7">
        <f t="shared" si="29"/>
        <v>15520.705882352941</v>
      </c>
      <c r="AF60" s="7">
        <f t="shared" si="29"/>
        <v>15520.705882352941</v>
      </c>
      <c r="AG60" s="7">
        <f t="shared" si="29"/>
        <v>15520.705882352941</v>
      </c>
      <c r="AH60" s="7">
        <f t="shared" si="29"/>
        <v>15520.705882352941</v>
      </c>
      <c r="AI60" s="7">
        <f t="shared" si="29"/>
        <v>15520.705882352941</v>
      </c>
      <c r="AJ60" s="7">
        <f t="shared" si="29"/>
        <v>0</v>
      </c>
      <c r="AK60" s="7">
        <f t="shared" si="29"/>
        <v>0</v>
      </c>
      <c r="AL60" s="7">
        <f t="shared" si="29"/>
        <v>0</v>
      </c>
      <c r="AM60" s="7">
        <f t="shared" si="29"/>
        <v>0</v>
      </c>
      <c r="AN60" s="7">
        <f t="shared" si="29"/>
        <v>0</v>
      </c>
      <c r="AO60" s="7">
        <f t="shared" si="29"/>
        <v>0</v>
      </c>
    </row>
    <row r="61" spans="1:41" s="9" customFormat="1" x14ac:dyDescent="0.35">
      <c r="A61" s="9" t="s">
        <v>58</v>
      </c>
      <c r="B61" s="9">
        <v>60</v>
      </c>
      <c r="C61" s="11">
        <v>54497</v>
      </c>
      <c r="D61" s="12">
        <v>1.1046999692899999</v>
      </c>
      <c r="E61" s="10">
        <f t="shared" si="18"/>
        <v>2.2093999385799998</v>
      </c>
      <c r="F61" s="132">
        <f t="shared" si="11"/>
        <v>0.1</v>
      </c>
      <c r="G61" s="128">
        <f t="shared" si="21"/>
        <v>1.20469996929</v>
      </c>
      <c r="H61" s="132">
        <f t="shared" si="11"/>
        <v>0.8</v>
      </c>
      <c r="I61" s="128">
        <f t="shared" si="9"/>
        <v>1.90469996929</v>
      </c>
      <c r="J61" s="7">
        <v>0</v>
      </c>
      <c r="K61" s="7">
        <f t="shared" si="14"/>
        <v>54497</v>
      </c>
      <c r="L61" s="133">
        <f t="shared" si="10"/>
        <v>0</v>
      </c>
      <c r="M61" s="7"/>
      <c r="N61" s="6">
        <f t="shared" si="22"/>
        <v>1.8046999692899999</v>
      </c>
      <c r="O61" s="6">
        <f t="shared" si="23"/>
        <v>1.8</v>
      </c>
      <c r="P61" s="7">
        <f t="shared" si="24"/>
        <v>3205.705882352941</v>
      </c>
      <c r="Q61" s="131" t="str">
        <f t="shared" si="25"/>
        <v/>
      </c>
      <c r="R61" s="7"/>
      <c r="S61" s="7">
        <f t="shared" si="28"/>
        <v>3205.705882352941</v>
      </c>
      <c r="T61" s="7">
        <f t="shared" si="28"/>
        <v>3205.705882352941</v>
      </c>
      <c r="U61" s="7">
        <f t="shared" si="28"/>
        <v>3205.705882352941</v>
      </c>
      <c r="V61" s="7">
        <f t="shared" si="28"/>
        <v>3205.705882352941</v>
      </c>
      <c r="W61" s="7">
        <f t="shared" si="28"/>
        <v>3205.705882352941</v>
      </c>
      <c r="X61" s="7">
        <f t="shared" si="28"/>
        <v>3205.705882352941</v>
      </c>
      <c r="Y61" s="7">
        <f t="shared" si="28"/>
        <v>3205.705882352941</v>
      </c>
      <c r="Z61" s="7">
        <f t="shared" si="28"/>
        <v>3205.705882352941</v>
      </c>
      <c r="AA61" s="7">
        <f t="shared" si="28"/>
        <v>3205.705882352941</v>
      </c>
      <c r="AB61" s="7">
        <f t="shared" si="28"/>
        <v>3205.705882352941</v>
      </c>
      <c r="AC61" s="7">
        <f t="shared" si="29"/>
        <v>3205.705882352941</v>
      </c>
      <c r="AD61" s="7">
        <f t="shared" si="29"/>
        <v>3205.705882352941</v>
      </c>
      <c r="AE61" s="7">
        <f t="shared" si="29"/>
        <v>3205.705882352941</v>
      </c>
      <c r="AF61" s="7">
        <f t="shared" si="29"/>
        <v>3205.705882352941</v>
      </c>
      <c r="AG61" s="7">
        <f t="shared" si="29"/>
        <v>3205.705882352941</v>
      </c>
      <c r="AH61" s="7">
        <f t="shared" si="29"/>
        <v>3205.705882352941</v>
      </c>
      <c r="AI61" s="7">
        <f t="shared" si="29"/>
        <v>3205.705882352941</v>
      </c>
      <c r="AJ61" s="7">
        <f t="shared" si="29"/>
        <v>0</v>
      </c>
      <c r="AK61" s="7">
        <f t="shared" si="29"/>
        <v>0</v>
      </c>
      <c r="AL61" s="7">
        <f t="shared" si="29"/>
        <v>0</v>
      </c>
      <c r="AM61" s="7">
        <f t="shared" si="29"/>
        <v>0</v>
      </c>
      <c r="AN61" s="7">
        <f t="shared" si="29"/>
        <v>0</v>
      </c>
      <c r="AO61" s="7">
        <f t="shared" si="29"/>
        <v>0</v>
      </c>
    </row>
    <row r="62" spans="1:41" x14ac:dyDescent="0.35">
      <c r="A62" s="5" t="s">
        <v>59</v>
      </c>
      <c r="B62" s="5">
        <v>61</v>
      </c>
      <c r="C62" s="7">
        <v>431093</v>
      </c>
      <c r="D62" s="8">
        <v>1.1046999692899999</v>
      </c>
      <c r="E62" s="6">
        <f t="shared" si="18"/>
        <v>2.2093999385799998</v>
      </c>
      <c r="F62" s="132">
        <f t="shared" si="11"/>
        <v>0.1</v>
      </c>
      <c r="G62" s="128">
        <f t="shared" si="21"/>
        <v>1.20469996929</v>
      </c>
      <c r="H62" s="132">
        <f t="shared" si="11"/>
        <v>0.8</v>
      </c>
      <c r="I62" s="128">
        <f t="shared" si="9"/>
        <v>1.90469996929</v>
      </c>
      <c r="J62" s="7">
        <v>0</v>
      </c>
      <c r="K62" s="7">
        <f t="shared" si="14"/>
        <v>431093</v>
      </c>
      <c r="L62" s="133">
        <f t="shared" si="10"/>
        <v>0</v>
      </c>
      <c r="M62" s="7"/>
      <c r="N62" s="6">
        <f t="shared" si="22"/>
        <v>1.8046999692899999</v>
      </c>
      <c r="O62" s="6">
        <f t="shared" si="23"/>
        <v>1.8</v>
      </c>
      <c r="P62" s="7">
        <f t="shared" si="24"/>
        <v>25358.411764705881</v>
      </c>
      <c r="Q62" s="131" t="str">
        <f t="shared" si="25"/>
        <v/>
      </c>
      <c r="R62" s="7"/>
      <c r="S62" s="7">
        <f t="shared" ref="S62:AB71" si="30">IF($P62=0,0,IF(S$1&lt;=$O62,$P62,0))</f>
        <v>25358.411764705881</v>
      </c>
      <c r="T62" s="7">
        <f t="shared" si="30"/>
        <v>25358.411764705881</v>
      </c>
      <c r="U62" s="7">
        <f t="shared" si="30"/>
        <v>25358.411764705881</v>
      </c>
      <c r="V62" s="7">
        <f t="shared" si="30"/>
        <v>25358.411764705881</v>
      </c>
      <c r="W62" s="7">
        <f t="shared" si="30"/>
        <v>25358.411764705881</v>
      </c>
      <c r="X62" s="7">
        <f t="shared" si="30"/>
        <v>25358.411764705881</v>
      </c>
      <c r="Y62" s="7">
        <f t="shared" si="30"/>
        <v>25358.411764705881</v>
      </c>
      <c r="Z62" s="7">
        <f t="shared" si="30"/>
        <v>25358.411764705881</v>
      </c>
      <c r="AA62" s="7">
        <f t="shared" si="30"/>
        <v>25358.411764705881</v>
      </c>
      <c r="AB62" s="7">
        <f t="shared" si="30"/>
        <v>25358.411764705881</v>
      </c>
      <c r="AC62" s="7">
        <f t="shared" ref="AC62:AO71" si="31">IF($P62=0,0,IF(AC$1&lt;=$O62,$P62,0))</f>
        <v>25358.411764705881</v>
      </c>
      <c r="AD62" s="7">
        <f t="shared" si="31"/>
        <v>25358.411764705881</v>
      </c>
      <c r="AE62" s="7">
        <f t="shared" si="31"/>
        <v>25358.411764705881</v>
      </c>
      <c r="AF62" s="7">
        <f t="shared" si="31"/>
        <v>25358.411764705881</v>
      </c>
      <c r="AG62" s="7">
        <f t="shared" si="31"/>
        <v>25358.411764705881</v>
      </c>
      <c r="AH62" s="7">
        <f t="shared" si="31"/>
        <v>25358.411764705881</v>
      </c>
      <c r="AI62" s="7">
        <f t="shared" si="31"/>
        <v>25358.411764705881</v>
      </c>
      <c r="AJ62" s="7">
        <f t="shared" si="31"/>
        <v>0</v>
      </c>
      <c r="AK62" s="7">
        <f t="shared" si="31"/>
        <v>0</v>
      </c>
      <c r="AL62" s="7">
        <f t="shared" si="31"/>
        <v>0</v>
      </c>
      <c r="AM62" s="7">
        <f t="shared" si="31"/>
        <v>0</v>
      </c>
      <c r="AN62" s="7">
        <f t="shared" si="31"/>
        <v>0</v>
      </c>
      <c r="AO62" s="7">
        <f t="shared" si="31"/>
        <v>0</v>
      </c>
    </row>
    <row r="63" spans="1:41" x14ac:dyDescent="0.35">
      <c r="A63" s="5" t="s">
        <v>60</v>
      </c>
      <c r="B63" s="5">
        <v>62</v>
      </c>
      <c r="C63" s="7">
        <v>191668</v>
      </c>
      <c r="D63" s="8">
        <v>1.1030000448199999</v>
      </c>
      <c r="E63" s="6">
        <f t="shared" ref="E63:E85" si="32">D63*2</f>
        <v>2.2060000896399998</v>
      </c>
      <c r="F63" s="132">
        <f t="shared" si="11"/>
        <v>0.1</v>
      </c>
      <c r="G63" s="128">
        <f t="shared" si="21"/>
        <v>1.20300004482</v>
      </c>
      <c r="H63" s="132">
        <f t="shared" si="11"/>
        <v>0.8</v>
      </c>
      <c r="I63" s="128">
        <f t="shared" si="9"/>
        <v>1.90300004482</v>
      </c>
      <c r="J63" s="7">
        <v>0</v>
      </c>
      <c r="K63" s="7">
        <f t="shared" si="14"/>
        <v>191668</v>
      </c>
      <c r="L63" s="133">
        <f t="shared" si="10"/>
        <v>0</v>
      </c>
      <c r="M63" s="7"/>
      <c r="N63" s="6">
        <f t="shared" si="22"/>
        <v>1.8030000448199999</v>
      </c>
      <c r="O63" s="6">
        <f t="shared" si="23"/>
        <v>1.8</v>
      </c>
      <c r="P63" s="7">
        <f t="shared" si="24"/>
        <v>11274.588235294117</v>
      </c>
      <c r="Q63" s="131" t="str">
        <f t="shared" si="25"/>
        <v/>
      </c>
      <c r="R63" s="7"/>
      <c r="S63" s="7">
        <f t="shared" si="30"/>
        <v>11274.588235294117</v>
      </c>
      <c r="T63" s="7">
        <f t="shared" si="30"/>
        <v>11274.588235294117</v>
      </c>
      <c r="U63" s="7">
        <f t="shared" si="30"/>
        <v>11274.588235294117</v>
      </c>
      <c r="V63" s="7">
        <f t="shared" si="30"/>
        <v>11274.588235294117</v>
      </c>
      <c r="W63" s="7">
        <f t="shared" si="30"/>
        <v>11274.588235294117</v>
      </c>
      <c r="X63" s="7">
        <f t="shared" si="30"/>
        <v>11274.588235294117</v>
      </c>
      <c r="Y63" s="7">
        <f t="shared" si="30"/>
        <v>11274.588235294117</v>
      </c>
      <c r="Z63" s="7">
        <f t="shared" si="30"/>
        <v>11274.588235294117</v>
      </c>
      <c r="AA63" s="7">
        <f t="shared" si="30"/>
        <v>11274.588235294117</v>
      </c>
      <c r="AB63" s="7">
        <f t="shared" si="30"/>
        <v>11274.588235294117</v>
      </c>
      <c r="AC63" s="7">
        <f t="shared" si="31"/>
        <v>11274.588235294117</v>
      </c>
      <c r="AD63" s="7">
        <f t="shared" si="31"/>
        <v>11274.588235294117</v>
      </c>
      <c r="AE63" s="7">
        <f t="shared" si="31"/>
        <v>11274.588235294117</v>
      </c>
      <c r="AF63" s="7">
        <f t="shared" si="31"/>
        <v>11274.588235294117</v>
      </c>
      <c r="AG63" s="7">
        <f t="shared" si="31"/>
        <v>11274.588235294117</v>
      </c>
      <c r="AH63" s="7">
        <f t="shared" si="31"/>
        <v>11274.588235294117</v>
      </c>
      <c r="AI63" s="7">
        <f t="shared" si="31"/>
        <v>11274.588235294117</v>
      </c>
      <c r="AJ63" s="7">
        <f t="shared" si="31"/>
        <v>0</v>
      </c>
      <c r="AK63" s="7">
        <f t="shared" si="31"/>
        <v>0</v>
      </c>
      <c r="AL63" s="7">
        <f t="shared" si="31"/>
        <v>0</v>
      </c>
      <c r="AM63" s="7">
        <f t="shared" si="31"/>
        <v>0</v>
      </c>
      <c r="AN63" s="7">
        <f t="shared" si="31"/>
        <v>0</v>
      </c>
      <c r="AO63" s="7">
        <f t="shared" si="31"/>
        <v>0</v>
      </c>
    </row>
    <row r="64" spans="1:41" x14ac:dyDescent="0.35">
      <c r="A64" s="5" t="s">
        <v>61</v>
      </c>
      <c r="B64" s="5">
        <v>63</v>
      </c>
      <c r="C64" s="7">
        <v>2497672</v>
      </c>
      <c r="D64" s="8">
        <v>1.1107000112500001</v>
      </c>
      <c r="E64" s="6">
        <f t="shared" si="32"/>
        <v>2.2214000225000001</v>
      </c>
      <c r="F64" s="132">
        <f t="shared" si="11"/>
        <v>0.1</v>
      </c>
      <c r="G64" s="128">
        <f t="shared" si="21"/>
        <v>1.2107000112500002</v>
      </c>
      <c r="H64" s="132">
        <f t="shared" si="11"/>
        <v>0.8</v>
      </c>
      <c r="I64" s="128">
        <f t="shared" si="9"/>
        <v>1.9107000112500001</v>
      </c>
      <c r="J64" s="7">
        <v>0</v>
      </c>
      <c r="K64" s="7">
        <f t="shared" si="14"/>
        <v>2497672</v>
      </c>
      <c r="L64" s="133">
        <f t="shared" si="10"/>
        <v>0</v>
      </c>
      <c r="M64" s="7"/>
      <c r="N64" s="6">
        <f t="shared" si="22"/>
        <v>1.81070001125</v>
      </c>
      <c r="O64" s="6">
        <f t="shared" si="23"/>
        <v>1.8</v>
      </c>
      <c r="P64" s="7">
        <f t="shared" si="24"/>
        <v>146921.88235294117</v>
      </c>
      <c r="Q64" s="131" t="str">
        <f t="shared" si="25"/>
        <v/>
      </c>
      <c r="R64" s="7"/>
      <c r="S64" s="7">
        <f t="shared" si="30"/>
        <v>146921.88235294117</v>
      </c>
      <c r="T64" s="7">
        <f t="shared" si="30"/>
        <v>146921.88235294117</v>
      </c>
      <c r="U64" s="7">
        <f t="shared" si="30"/>
        <v>146921.88235294117</v>
      </c>
      <c r="V64" s="7">
        <f t="shared" si="30"/>
        <v>146921.88235294117</v>
      </c>
      <c r="W64" s="7">
        <f t="shared" si="30"/>
        <v>146921.88235294117</v>
      </c>
      <c r="X64" s="7">
        <f t="shared" si="30"/>
        <v>146921.88235294117</v>
      </c>
      <c r="Y64" s="7">
        <f t="shared" si="30"/>
        <v>146921.88235294117</v>
      </c>
      <c r="Z64" s="7">
        <f t="shared" si="30"/>
        <v>146921.88235294117</v>
      </c>
      <c r="AA64" s="7">
        <f t="shared" si="30"/>
        <v>146921.88235294117</v>
      </c>
      <c r="AB64" s="7">
        <f t="shared" si="30"/>
        <v>146921.88235294117</v>
      </c>
      <c r="AC64" s="7">
        <f t="shared" si="31"/>
        <v>146921.88235294117</v>
      </c>
      <c r="AD64" s="7">
        <f t="shared" si="31"/>
        <v>146921.88235294117</v>
      </c>
      <c r="AE64" s="7">
        <f t="shared" si="31"/>
        <v>146921.88235294117</v>
      </c>
      <c r="AF64" s="7">
        <f t="shared" si="31"/>
        <v>146921.88235294117</v>
      </c>
      <c r="AG64" s="7">
        <f t="shared" si="31"/>
        <v>146921.88235294117</v>
      </c>
      <c r="AH64" s="7">
        <f t="shared" si="31"/>
        <v>146921.88235294117</v>
      </c>
      <c r="AI64" s="7">
        <f t="shared" si="31"/>
        <v>146921.88235294117</v>
      </c>
      <c r="AJ64" s="7">
        <f t="shared" si="31"/>
        <v>0</v>
      </c>
      <c r="AK64" s="7">
        <f t="shared" si="31"/>
        <v>0</v>
      </c>
      <c r="AL64" s="7">
        <f t="shared" si="31"/>
        <v>0</v>
      </c>
      <c r="AM64" s="7">
        <f t="shared" si="31"/>
        <v>0</v>
      </c>
      <c r="AN64" s="7">
        <f t="shared" si="31"/>
        <v>0</v>
      </c>
      <c r="AO64" s="7">
        <f t="shared" si="31"/>
        <v>0</v>
      </c>
    </row>
    <row r="65" spans="1:41" s="9" customFormat="1" x14ac:dyDescent="0.35">
      <c r="A65" s="9" t="s">
        <v>62</v>
      </c>
      <c r="B65" s="9">
        <v>64</v>
      </c>
      <c r="C65" s="11">
        <v>2497672</v>
      </c>
      <c r="D65" s="12">
        <v>1.12209999561</v>
      </c>
      <c r="E65" s="10">
        <f t="shared" si="32"/>
        <v>2.2441999912199999</v>
      </c>
      <c r="F65" s="132">
        <f t="shared" si="11"/>
        <v>0.1</v>
      </c>
      <c r="G65" s="128">
        <f t="shared" si="21"/>
        <v>1.22209999561</v>
      </c>
      <c r="H65" s="132">
        <f t="shared" si="11"/>
        <v>0.8</v>
      </c>
      <c r="I65" s="128">
        <f t="shared" si="9"/>
        <v>1.92209999561</v>
      </c>
      <c r="J65" s="7">
        <v>2497672</v>
      </c>
      <c r="K65" s="7">
        <f t="shared" si="14"/>
        <v>0</v>
      </c>
      <c r="L65" s="133">
        <f t="shared" si="10"/>
        <v>1</v>
      </c>
      <c r="M65" s="7"/>
      <c r="N65" s="6">
        <f t="shared" si="22"/>
        <v>1.8220999956099999</v>
      </c>
      <c r="O65" s="6">
        <f t="shared" si="23"/>
        <v>1.8</v>
      </c>
      <c r="P65" s="7">
        <f t="shared" si="24"/>
        <v>0</v>
      </c>
      <c r="Q65" s="131" t="str">
        <f t="shared" si="25"/>
        <v/>
      </c>
      <c r="R65" s="7"/>
      <c r="S65" s="7">
        <f t="shared" si="30"/>
        <v>0</v>
      </c>
      <c r="T65" s="7">
        <f t="shared" si="30"/>
        <v>0</v>
      </c>
      <c r="U65" s="7">
        <f t="shared" si="30"/>
        <v>0</v>
      </c>
      <c r="V65" s="7">
        <f t="shared" si="30"/>
        <v>0</v>
      </c>
      <c r="W65" s="7">
        <f t="shared" si="30"/>
        <v>0</v>
      </c>
      <c r="X65" s="7">
        <f t="shared" si="30"/>
        <v>0</v>
      </c>
      <c r="Y65" s="7">
        <f t="shared" si="30"/>
        <v>0</v>
      </c>
      <c r="Z65" s="7">
        <f t="shared" si="30"/>
        <v>0</v>
      </c>
      <c r="AA65" s="7">
        <f t="shared" si="30"/>
        <v>0</v>
      </c>
      <c r="AB65" s="7">
        <f t="shared" si="30"/>
        <v>0</v>
      </c>
      <c r="AC65" s="7">
        <f t="shared" si="31"/>
        <v>0</v>
      </c>
      <c r="AD65" s="7">
        <f t="shared" si="31"/>
        <v>0</v>
      </c>
      <c r="AE65" s="7">
        <f t="shared" si="31"/>
        <v>0</v>
      </c>
      <c r="AF65" s="7">
        <f t="shared" si="31"/>
        <v>0</v>
      </c>
      <c r="AG65" s="7">
        <f t="shared" si="31"/>
        <v>0</v>
      </c>
      <c r="AH65" s="7">
        <f t="shared" si="31"/>
        <v>0</v>
      </c>
      <c r="AI65" s="7">
        <f t="shared" si="31"/>
        <v>0</v>
      </c>
      <c r="AJ65" s="7">
        <f t="shared" si="31"/>
        <v>0</v>
      </c>
      <c r="AK65" s="7">
        <f t="shared" si="31"/>
        <v>0</v>
      </c>
      <c r="AL65" s="7">
        <f t="shared" si="31"/>
        <v>0</v>
      </c>
      <c r="AM65" s="7">
        <f t="shared" si="31"/>
        <v>0</v>
      </c>
      <c r="AN65" s="7">
        <f t="shared" si="31"/>
        <v>0</v>
      </c>
      <c r="AO65" s="7">
        <f t="shared" si="31"/>
        <v>0</v>
      </c>
    </row>
    <row r="66" spans="1:41" x14ac:dyDescent="0.35">
      <c r="A66" s="5" t="s">
        <v>63</v>
      </c>
      <c r="B66" s="5">
        <v>65</v>
      </c>
      <c r="C66" s="7">
        <v>409453</v>
      </c>
      <c r="D66" s="8">
        <v>1.12209999561</v>
      </c>
      <c r="E66" s="6">
        <f t="shared" si="32"/>
        <v>2.2441999912199999</v>
      </c>
      <c r="F66" s="132">
        <f t="shared" si="11"/>
        <v>0.1</v>
      </c>
      <c r="G66" s="128">
        <f t="shared" ref="G66:G82" si="33">D66+F66</f>
        <v>1.22209999561</v>
      </c>
      <c r="H66" s="132">
        <f t="shared" si="11"/>
        <v>0.8</v>
      </c>
      <c r="I66" s="128">
        <f t="shared" si="9"/>
        <v>1.92209999561</v>
      </c>
      <c r="J66" s="7">
        <v>89584</v>
      </c>
      <c r="K66" s="7">
        <f t="shared" si="14"/>
        <v>319869</v>
      </c>
      <c r="L66" s="133">
        <f t="shared" si="10"/>
        <v>0.21878945813072562</v>
      </c>
      <c r="M66" s="7"/>
      <c r="N66" s="6">
        <f t="shared" ref="N66:N83" si="34">I66-F66</f>
        <v>1.8220999956099999</v>
      </c>
      <c r="O66" s="6">
        <f t="shared" ref="O66:O83" si="35">ROUND(I66-F66,1)</f>
        <v>1.8</v>
      </c>
      <c r="P66" s="7">
        <f t="shared" ref="P66:P83" si="36">K66/((O66/0.1)-1)</f>
        <v>18815.823529411766</v>
      </c>
      <c r="Q66" s="131" t="str">
        <f t="shared" ref="Q66:Q83" si="37">IF(SUM(S66:AO66)=K66,"","check")</f>
        <v/>
      </c>
      <c r="R66" s="7"/>
      <c r="S66" s="7">
        <f t="shared" si="30"/>
        <v>18815.823529411766</v>
      </c>
      <c r="T66" s="7">
        <f t="shared" si="30"/>
        <v>18815.823529411766</v>
      </c>
      <c r="U66" s="7">
        <f t="shared" si="30"/>
        <v>18815.823529411766</v>
      </c>
      <c r="V66" s="7">
        <f t="shared" si="30"/>
        <v>18815.823529411766</v>
      </c>
      <c r="W66" s="7">
        <f t="shared" si="30"/>
        <v>18815.823529411766</v>
      </c>
      <c r="X66" s="7">
        <f t="shared" si="30"/>
        <v>18815.823529411766</v>
      </c>
      <c r="Y66" s="7">
        <f t="shared" si="30"/>
        <v>18815.823529411766</v>
      </c>
      <c r="Z66" s="7">
        <f t="shared" si="30"/>
        <v>18815.823529411766</v>
      </c>
      <c r="AA66" s="7">
        <f t="shared" si="30"/>
        <v>18815.823529411766</v>
      </c>
      <c r="AB66" s="7">
        <f t="shared" si="30"/>
        <v>18815.823529411766</v>
      </c>
      <c r="AC66" s="7">
        <f t="shared" si="31"/>
        <v>18815.823529411766</v>
      </c>
      <c r="AD66" s="7">
        <f t="shared" si="31"/>
        <v>18815.823529411766</v>
      </c>
      <c r="AE66" s="7">
        <f t="shared" si="31"/>
        <v>18815.823529411766</v>
      </c>
      <c r="AF66" s="7">
        <f t="shared" si="31"/>
        <v>18815.823529411766</v>
      </c>
      <c r="AG66" s="7">
        <f t="shared" si="31"/>
        <v>18815.823529411766</v>
      </c>
      <c r="AH66" s="7">
        <f t="shared" si="31"/>
        <v>18815.823529411766</v>
      </c>
      <c r="AI66" s="7">
        <f t="shared" si="31"/>
        <v>18815.823529411766</v>
      </c>
      <c r="AJ66" s="7">
        <f t="shared" si="31"/>
        <v>0</v>
      </c>
      <c r="AK66" s="7">
        <f t="shared" si="31"/>
        <v>0</v>
      </c>
      <c r="AL66" s="7">
        <f t="shared" si="31"/>
        <v>0</v>
      </c>
      <c r="AM66" s="7">
        <f t="shared" si="31"/>
        <v>0</v>
      </c>
      <c r="AN66" s="7">
        <f t="shared" si="31"/>
        <v>0</v>
      </c>
      <c r="AO66" s="7">
        <f t="shared" si="31"/>
        <v>0</v>
      </c>
    </row>
    <row r="67" spans="1:41" s="9" customFormat="1" x14ac:dyDescent="0.35">
      <c r="A67" s="9" t="s">
        <v>64</v>
      </c>
      <c r="B67" s="9">
        <v>66</v>
      </c>
      <c r="C67" s="11">
        <v>6850792</v>
      </c>
      <c r="D67" s="14">
        <v>1.13020002842</v>
      </c>
      <c r="E67" s="10">
        <f t="shared" si="32"/>
        <v>2.26040005684</v>
      </c>
      <c r="F67" s="132">
        <f t="shared" si="11"/>
        <v>0.1</v>
      </c>
      <c r="G67" s="128">
        <f t="shared" si="33"/>
        <v>1.2302000284200001</v>
      </c>
      <c r="H67" s="132">
        <f t="shared" si="11"/>
        <v>0.8</v>
      </c>
      <c r="I67" s="128">
        <f t="shared" ref="I67:I85" si="38">D67+H67</f>
        <v>1.93020002842</v>
      </c>
      <c r="J67" s="7">
        <v>4467888</v>
      </c>
      <c r="K67" s="7">
        <f t="shared" si="14"/>
        <v>2382904</v>
      </c>
      <c r="L67" s="133">
        <f t="shared" ref="L67:L85" si="39">IF(J67=C67,1,IF(J67=0,0,J67/C67))</f>
        <v>0.65217101905881836</v>
      </c>
      <c r="M67" s="7"/>
      <c r="N67" s="6">
        <f t="shared" si="34"/>
        <v>1.83020002842</v>
      </c>
      <c r="O67" s="6">
        <f t="shared" si="35"/>
        <v>1.8</v>
      </c>
      <c r="P67" s="7">
        <f t="shared" si="36"/>
        <v>140170.82352941178</v>
      </c>
      <c r="Q67" s="131" t="str">
        <f t="shared" si="37"/>
        <v/>
      </c>
      <c r="R67" s="7"/>
      <c r="S67" s="7">
        <f t="shared" si="30"/>
        <v>140170.82352941178</v>
      </c>
      <c r="T67" s="7">
        <f t="shared" si="30"/>
        <v>140170.82352941178</v>
      </c>
      <c r="U67" s="7">
        <f t="shared" si="30"/>
        <v>140170.82352941178</v>
      </c>
      <c r="V67" s="7">
        <f t="shared" si="30"/>
        <v>140170.82352941178</v>
      </c>
      <c r="W67" s="7">
        <f t="shared" si="30"/>
        <v>140170.82352941178</v>
      </c>
      <c r="X67" s="7">
        <f t="shared" si="30"/>
        <v>140170.82352941178</v>
      </c>
      <c r="Y67" s="7">
        <f t="shared" si="30"/>
        <v>140170.82352941178</v>
      </c>
      <c r="Z67" s="7">
        <f t="shared" si="30"/>
        <v>140170.82352941178</v>
      </c>
      <c r="AA67" s="7">
        <f t="shared" si="30"/>
        <v>140170.82352941178</v>
      </c>
      <c r="AB67" s="7">
        <f t="shared" si="30"/>
        <v>140170.82352941178</v>
      </c>
      <c r="AC67" s="7">
        <f t="shared" si="31"/>
        <v>140170.82352941178</v>
      </c>
      <c r="AD67" s="7">
        <f t="shared" si="31"/>
        <v>140170.82352941178</v>
      </c>
      <c r="AE67" s="7">
        <f t="shared" si="31"/>
        <v>140170.82352941178</v>
      </c>
      <c r="AF67" s="7">
        <f t="shared" si="31"/>
        <v>140170.82352941178</v>
      </c>
      <c r="AG67" s="7">
        <f t="shared" si="31"/>
        <v>140170.82352941178</v>
      </c>
      <c r="AH67" s="7">
        <f t="shared" si="31"/>
        <v>140170.82352941178</v>
      </c>
      <c r="AI67" s="7">
        <f t="shared" si="31"/>
        <v>140170.82352941178</v>
      </c>
      <c r="AJ67" s="7">
        <f t="shared" si="31"/>
        <v>0</v>
      </c>
      <c r="AK67" s="7">
        <f t="shared" si="31"/>
        <v>0</v>
      </c>
      <c r="AL67" s="7">
        <f t="shared" si="31"/>
        <v>0</v>
      </c>
      <c r="AM67" s="7">
        <f t="shared" si="31"/>
        <v>0</v>
      </c>
      <c r="AN67" s="7">
        <f t="shared" si="31"/>
        <v>0</v>
      </c>
      <c r="AO67" s="7">
        <f t="shared" si="31"/>
        <v>0</v>
      </c>
    </row>
    <row r="68" spans="1:41" x14ac:dyDescent="0.35">
      <c r="A68" s="5" t="s">
        <v>65</v>
      </c>
      <c r="B68" s="5">
        <v>67</v>
      </c>
      <c r="C68" s="7">
        <v>388896</v>
      </c>
      <c r="D68" s="8">
        <v>1.13010001183</v>
      </c>
      <c r="E68" s="6">
        <f t="shared" si="32"/>
        <v>2.2602000236599999</v>
      </c>
      <c r="F68" s="132">
        <f t="shared" ref="F68:H83" si="40">F67</f>
        <v>0.1</v>
      </c>
      <c r="G68" s="128">
        <f t="shared" si="33"/>
        <v>1.2301000118300001</v>
      </c>
      <c r="H68" s="132">
        <f t="shared" si="40"/>
        <v>0.8</v>
      </c>
      <c r="I68" s="128">
        <f t="shared" si="38"/>
        <v>1.93010001183</v>
      </c>
      <c r="J68" s="7">
        <v>146892</v>
      </c>
      <c r="K68" s="7">
        <f t="shared" si="14"/>
        <v>242004</v>
      </c>
      <c r="L68" s="133">
        <f t="shared" si="39"/>
        <v>0.37771537891878548</v>
      </c>
      <c r="M68" s="7"/>
      <c r="N68" s="6">
        <f t="shared" si="34"/>
        <v>1.8301000118299999</v>
      </c>
      <c r="O68" s="6">
        <f t="shared" si="35"/>
        <v>1.8</v>
      </c>
      <c r="P68" s="7">
        <f t="shared" si="36"/>
        <v>14235.529411764706</v>
      </c>
      <c r="Q68" s="131" t="str">
        <f t="shared" si="37"/>
        <v/>
      </c>
      <c r="R68" s="7"/>
      <c r="S68" s="7">
        <f t="shared" si="30"/>
        <v>14235.529411764706</v>
      </c>
      <c r="T68" s="7">
        <f t="shared" si="30"/>
        <v>14235.529411764706</v>
      </c>
      <c r="U68" s="7">
        <f t="shared" si="30"/>
        <v>14235.529411764706</v>
      </c>
      <c r="V68" s="7">
        <f t="shared" si="30"/>
        <v>14235.529411764706</v>
      </c>
      <c r="W68" s="7">
        <f t="shared" si="30"/>
        <v>14235.529411764706</v>
      </c>
      <c r="X68" s="7">
        <f t="shared" si="30"/>
        <v>14235.529411764706</v>
      </c>
      <c r="Y68" s="7">
        <f t="shared" si="30"/>
        <v>14235.529411764706</v>
      </c>
      <c r="Z68" s="7">
        <f t="shared" si="30"/>
        <v>14235.529411764706</v>
      </c>
      <c r="AA68" s="7">
        <f t="shared" si="30"/>
        <v>14235.529411764706</v>
      </c>
      <c r="AB68" s="7">
        <f t="shared" si="30"/>
        <v>14235.529411764706</v>
      </c>
      <c r="AC68" s="7">
        <f t="shared" si="31"/>
        <v>14235.529411764706</v>
      </c>
      <c r="AD68" s="7">
        <f t="shared" si="31"/>
        <v>14235.529411764706</v>
      </c>
      <c r="AE68" s="7">
        <f t="shared" si="31"/>
        <v>14235.529411764706</v>
      </c>
      <c r="AF68" s="7">
        <f t="shared" si="31"/>
        <v>14235.529411764706</v>
      </c>
      <c r="AG68" s="7">
        <f t="shared" si="31"/>
        <v>14235.529411764706</v>
      </c>
      <c r="AH68" s="7">
        <f t="shared" si="31"/>
        <v>14235.529411764706</v>
      </c>
      <c r="AI68" s="7">
        <f t="shared" si="31"/>
        <v>14235.529411764706</v>
      </c>
      <c r="AJ68" s="7">
        <f t="shared" si="31"/>
        <v>0</v>
      </c>
      <c r="AK68" s="7">
        <f t="shared" si="31"/>
        <v>0</v>
      </c>
      <c r="AL68" s="7">
        <f t="shared" si="31"/>
        <v>0</v>
      </c>
      <c r="AM68" s="7">
        <f t="shared" si="31"/>
        <v>0</v>
      </c>
      <c r="AN68" s="7">
        <f t="shared" si="31"/>
        <v>0</v>
      </c>
      <c r="AO68" s="7">
        <f t="shared" si="31"/>
        <v>0</v>
      </c>
    </row>
    <row r="69" spans="1:41" x14ac:dyDescent="0.35">
      <c r="A69" s="5" t="s">
        <v>66</v>
      </c>
      <c r="B69" s="5">
        <v>68</v>
      </c>
      <c r="C69" s="7">
        <v>425175</v>
      </c>
      <c r="D69" s="8">
        <v>1.1749999523200001</v>
      </c>
      <c r="E69" s="6">
        <f t="shared" si="32"/>
        <v>2.3499999046400002</v>
      </c>
      <c r="F69" s="132">
        <f t="shared" si="40"/>
        <v>0.1</v>
      </c>
      <c r="G69" s="128">
        <f t="shared" si="33"/>
        <v>1.2749999523200002</v>
      </c>
      <c r="H69" s="132">
        <f t="shared" si="40"/>
        <v>0.8</v>
      </c>
      <c r="I69" s="128">
        <f t="shared" si="38"/>
        <v>1.9749999523200001</v>
      </c>
      <c r="J69" s="7">
        <v>137966</v>
      </c>
      <c r="K69" s="7">
        <f t="shared" si="14"/>
        <v>287209</v>
      </c>
      <c r="L69" s="133">
        <f t="shared" si="39"/>
        <v>0.32449226788969249</v>
      </c>
      <c r="M69" s="7"/>
      <c r="N69" s="6">
        <f t="shared" si="34"/>
        <v>1.8749999523200001</v>
      </c>
      <c r="O69" s="6">
        <f t="shared" si="35"/>
        <v>1.9</v>
      </c>
      <c r="P69" s="7">
        <f t="shared" si="36"/>
        <v>15956.055555555558</v>
      </c>
      <c r="Q69" s="131" t="str">
        <f t="shared" si="37"/>
        <v/>
      </c>
      <c r="R69" s="7"/>
      <c r="S69" s="7">
        <f t="shared" si="30"/>
        <v>15956.055555555558</v>
      </c>
      <c r="T69" s="7">
        <f t="shared" si="30"/>
        <v>15956.055555555558</v>
      </c>
      <c r="U69" s="7">
        <f t="shared" si="30"/>
        <v>15956.055555555558</v>
      </c>
      <c r="V69" s="7">
        <f t="shared" si="30"/>
        <v>15956.055555555558</v>
      </c>
      <c r="W69" s="7">
        <f t="shared" si="30"/>
        <v>15956.055555555558</v>
      </c>
      <c r="X69" s="7">
        <f t="shared" si="30"/>
        <v>15956.055555555558</v>
      </c>
      <c r="Y69" s="7">
        <f t="shared" si="30"/>
        <v>15956.055555555558</v>
      </c>
      <c r="Z69" s="7">
        <f t="shared" si="30"/>
        <v>15956.055555555558</v>
      </c>
      <c r="AA69" s="7">
        <f t="shared" si="30"/>
        <v>15956.055555555558</v>
      </c>
      <c r="AB69" s="7">
        <f t="shared" si="30"/>
        <v>15956.055555555558</v>
      </c>
      <c r="AC69" s="7">
        <f t="shared" si="31"/>
        <v>15956.055555555558</v>
      </c>
      <c r="AD69" s="7">
        <f t="shared" si="31"/>
        <v>15956.055555555558</v>
      </c>
      <c r="AE69" s="7">
        <f t="shared" si="31"/>
        <v>15956.055555555558</v>
      </c>
      <c r="AF69" s="7">
        <f t="shared" si="31"/>
        <v>15956.055555555558</v>
      </c>
      <c r="AG69" s="7">
        <f t="shared" si="31"/>
        <v>15956.055555555558</v>
      </c>
      <c r="AH69" s="7">
        <f t="shared" si="31"/>
        <v>15956.055555555558</v>
      </c>
      <c r="AI69" s="7">
        <f t="shared" si="31"/>
        <v>15956.055555555558</v>
      </c>
      <c r="AJ69" s="7">
        <f t="shared" si="31"/>
        <v>15956.055555555558</v>
      </c>
      <c r="AK69" s="7">
        <f t="shared" si="31"/>
        <v>0</v>
      </c>
      <c r="AL69" s="7">
        <f t="shared" si="31"/>
        <v>0</v>
      </c>
      <c r="AM69" s="7">
        <f t="shared" si="31"/>
        <v>0</v>
      </c>
      <c r="AN69" s="7">
        <f t="shared" si="31"/>
        <v>0</v>
      </c>
      <c r="AO69" s="7">
        <f t="shared" si="31"/>
        <v>0</v>
      </c>
    </row>
    <row r="70" spans="1:41" x14ac:dyDescent="0.35">
      <c r="A70" s="5" t="s">
        <v>67</v>
      </c>
      <c r="B70" s="5">
        <v>69</v>
      </c>
      <c r="C70" s="7">
        <v>829319</v>
      </c>
      <c r="D70" s="13">
        <v>1.14639997482</v>
      </c>
      <c r="E70" s="6">
        <f t="shared" si="32"/>
        <v>2.29279994964</v>
      </c>
      <c r="F70" s="132">
        <f t="shared" si="40"/>
        <v>0.1</v>
      </c>
      <c r="G70" s="128">
        <f t="shared" si="33"/>
        <v>1.2463999748200001</v>
      </c>
      <c r="H70" s="132">
        <f t="shared" si="40"/>
        <v>0.8</v>
      </c>
      <c r="I70" s="128">
        <f t="shared" si="38"/>
        <v>1.94639997482</v>
      </c>
      <c r="J70" s="7">
        <v>309159</v>
      </c>
      <c r="K70" s="7">
        <f t="shared" si="14"/>
        <v>520160</v>
      </c>
      <c r="L70" s="133">
        <f t="shared" si="39"/>
        <v>0.37278658754954364</v>
      </c>
      <c r="M70" s="7"/>
      <c r="N70" s="6">
        <f t="shared" si="34"/>
        <v>1.84639997482</v>
      </c>
      <c r="O70" s="6">
        <f t="shared" si="35"/>
        <v>1.8</v>
      </c>
      <c r="P70" s="7">
        <f t="shared" si="36"/>
        <v>30597.647058823528</v>
      </c>
      <c r="Q70" s="131" t="str">
        <f t="shared" si="37"/>
        <v/>
      </c>
      <c r="R70" s="7"/>
      <c r="S70" s="7">
        <f t="shared" si="30"/>
        <v>30597.647058823528</v>
      </c>
      <c r="T70" s="7">
        <f t="shared" si="30"/>
        <v>30597.647058823528</v>
      </c>
      <c r="U70" s="7">
        <f t="shared" si="30"/>
        <v>30597.647058823528</v>
      </c>
      <c r="V70" s="7">
        <f t="shared" si="30"/>
        <v>30597.647058823528</v>
      </c>
      <c r="W70" s="7">
        <f t="shared" si="30"/>
        <v>30597.647058823528</v>
      </c>
      <c r="X70" s="7">
        <f t="shared" si="30"/>
        <v>30597.647058823528</v>
      </c>
      <c r="Y70" s="7">
        <f t="shared" si="30"/>
        <v>30597.647058823528</v>
      </c>
      <c r="Z70" s="7">
        <f t="shared" si="30"/>
        <v>30597.647058823528</v>
      </c>
      <c r="AA70" s="7">
        <f t="shared" si="30"/>
        <v>30597.647058823528</v>
      </c>
      <c r="AB70" s="7">
        <f t="shared" si="30"/>
        <v>30597.647058823528</v>
      </c>
      <c r="AC70" s="7">
        <f t="shared" si="31"/>
        <v>30597.647058823528</v>
      </c>
      <c r="AD70" s="7">
        <f t="shared" si="31"/>
        <v>30597.647058823528</v>
      </c>
      <c r="AE70" s="7">
        <f t="shared" si="31"/>
        <v>30597.647058823528</v>
      </c>
      <c r="AF70" s="7">
        <f t="shared" si="31"/>
        <v>30597.647058823528</v>
      </c>
      <c r="AG70" s="7">
        <f t="shared" si="31"/>
        <v>30597.647058823528</v>
      </c>
      <c r="AH70" s="7">
        <f t="shared" si="31"/>
        <v>30597.647058823528</v>
      </c>
      <c r="AI70" s="7">
        <f t="shared" si="31"/>
        <v>30597.647058823528</v>
      </c>
      <c r="AJ70" s="7">
        <f t="shared" si="31"/>
        <v>0</v>
      </c>
      <c r="AK70" s="7">
        <f t="shared" si="31"/>
        <v>0</v>
      </c>
      <c r="AL70" s="7">
        <f t="shared" si="31"/>
        <v>0</v>
      </c>
      <c r="AM70" s="7">
        <f t="shared" si="31"/>
        <v>0</v>
      </c>
      <c r="AN70" s="7">
        <f t="shared" si="31"/>
        <v>0</v>
      </c>
      <c r="AO70" s="7">
        <f t="shared" si="31"/>
        <v>0</v>
      </c>
    </row>
    <row r="71" spans="1:41" x14ac:dyDescent="0.35">
      <c r="A71" s="5" t="s">
        <v>68</v>
      </c>
      <c r="B71" s="5">
        <v>70</v>
      </c>
      <c r="C71" s="7">
        <v>104162</v>
      </c>
      <c r="D71" s="8">
        <v>1.13979995251</v>
      </c>
      <c r="E71" s="6">
        <f t="shared" si="32"/>
        <v>2.27959990502</v>
      </c>
      <c r="F71" s="132">
        <f t="shared" si="40"/>
        <v>0.1</v>
      </c>
      <c r="G71" s="128">
        <f t="shared" si="33"/>
        <v>1.2397999525100001</v>
      </c>
      <c r="H71" s="132">
        <f t="shared" si="40"/>
        <v>0.8</v>
      </c>
      <c r="I71" s="128">
        <f t="shared" si="38"/>
        <v>1.93979995251</v>
      </c>
      <c r="J71" s="7">
        <v>0</v>
      </c>
      <c r="K71" s="7">
        <f t="shared" si="14"/>
        <v>104162</v>
      </c>
      <c r="L71" s="133">
        <f t="shared" si="39"/>
        <v>0</v>
      </c>
      <c r="M71" s="7"/>
      <c r="N71" s="6">
        <f t="shared" si="34"/>
        <v>1.8397999525099999</v>
      </c>
      <c r="O71" s="6">
        <f t="shared" si="35"/>
        <v>1.8</v>
      </c>
      <c r="P71" s="7">
        <f t="shared" si="36"/>
        <v>6127.1764705882351</v>
      </c>
      <c r="Q71" s="131" t="str">
        <f t="shared" si="37"/>
        <v/>
      </c>
      <c r="R71" s="7"/>
      <c r="S71" s="7">
        <f t="shared" si="30"/>
        <v>6127.1764705882351</v>
      </c>
      <c r="T71" s="7">
        <f t="shared" si="30"/>
        <v>6127.1764705882351</v>
      </c>
      <c r="U71" s="7">
        <f t="shared" si="30"/>
        <v>6127.1764705882351</v>
      </c>
      <c r="V71" s="7">
        <f t="shared" si="30"/>
        <v>6127.1764705882351</v>
      </c>
      <c r="W71" s="7">
        <f t="shared" si="30"/>
        <v>6127.1764705882351</v>
      </c>
      <c r="X71" s="7">
        <f t="shared" si="30"/>
        <v>6127.1764705882351</v>
      </c>
      <c r="Y71" s="7">
        <f t="shared" si="30"/>
        <v>6127.1764705882351</v>
      </c>
      <c r="Z71" s="7">
        <f t="shared" si="30"/>
        <v>6127.1764705882351</v>
      </c>
      <c r="AA71" s="7">
        <f t="shared" si="30"/>
        <v>6127.1764705882351</v>
      </c>
      <c r="AB71" s="7">
        <f t="shared" si="30"/>
        <v>6127.1764705882351</v>
      </c>
      <c r="AC71" s="7">
        <f t="shared" si="31"/>
        <v>6127.1764705882351</v>
      </c>
      <c r="AD71" s="7">
        <f t="shared" si="31"/>
        <v>6127.1764705882351</v>
      </c>
      <c r="AE71" s="7">
        <f t="shared" si="31"/>
        <v>6127.1764705882351</v>
      </c>
      <c r="AF71" s="7">
        <f t="shared" si="31"/>
        <v>6127.1764705882351</v>
      </c>
      <c r="AG71" s="7">
        <f t="shared" si="31"/>
        <v>6127.1764705882351</v>
      </c>
      <c r="AH71" s="7">
        <f t="shared" si="31"/>
        <v>6127.1764705882351</v>
      </c>
      <c r="AI71" s="7">
        <f t="shared" si="31"/>
        <v>6127.1764705882351</v>
      </c>
      <c r="AJ71" s="7">
        <f t="shared" si="31"/>
        <v>0</v>
      </c>
      <c r="AK71" s="7">
        <f t="shared" si="31"/>
        <v>0</v>
      </c>
      <c r="AL71" s="7">
        <f t="shared" si="31"/>
        <v>0</v>
      </c>
      <c r="AM71" s="7">
        <f t="shared" si="31"/>
        <v>0</v>
      </c>
      <c r="AN71" s="7">
        <f t="shared" si="31"/>
        <v>0</v>
      </c>
      <c r="AO71" s="7">
        <f t="shared" si="31"/>
        <v>0</v>
      </c>
    </row>
    <row r="72" spans="1:41" x14ac:dyDescent="0.35">
      <c r="A72" s="5" t="s">
        <v>69</v>
      </c>
      <c r="B72" s="5">
        <v>71</v>
      </c>
      <c r="C72" s="7">
        <v>628462</v>
      </c>
      <c r="D72" s="13">
        <v>1.0774999856900001</v>
      </c>
      <c r="E72" s="6">
        <f t="shared" si="32"/>
        <v>2.1549999713800001</v>
      </c>
      <c r="F72" s="132">
        <f t="shared" si="40"/>
        <v>0.1</v>
      </c>
      <c r="G72" s="128">
        <f t="shared" si="33"/>
        <v>1.1774999856900001</v>
      </c>
      <c r="H72" s="132">
        <f t="shared" si="40"/>
        <v>0.8</v>
      </c>
      <c r="I72" s="128">
        <f t="shared" si="38"/>
        <v>1.8774999856900001</v>
      </c>
      <c r="J72" s="7">
        <v>404105</v>
      </c>
      <c r="K72" s="7">
        <f t="shared" si="14"/>
        <v>224357</v>
      </c>
      <c r="L72" s="133">
        <f t="shared" si="39"/>
        <v>0.64300625972612502</v>
      </c>
      <c r="M72" s="7"/>
      <c r="N72" s="6">
        <f t="shared" si="34"/>
        <v>1.77749998569</v>
      </c>
      <c r="O72" s="6">
        <f t="shared" si="35"/>
        <v>1.8</v>
      </c>
      <c r="P72" s="7">
        <f t="shared" si="36"/>
        <v>13197.470588235294</v>
      </c>
      <c r="Q72" s="131" t="str">
        <f t="shared" si="37"/>
        <v/>
      </c>
      <c r="R72" s="7"/>
      <c r="S72" s="7">
        <f t="shared" ref="S72:AB85" si="41">IF($P72=0,0,IF(S$1&lt;=$O72,$P72,0))</f>
        <v>13197.470588235294</v>
      </c>
      <c r="T72" s="7">
        <f t="shared" si="41"/>
        <v>13197.470588235294</v>
      </c>
      <c r="U72" s="7">
        <f t="shared" si="41"/>
        <v>13197.470588235294</v>
      </c>
      <c r="V72" s="7">
        <f t="shared" si="41"/>
        <v>13197.470588235294</v>
      </c>
      <c r="W72" s="7">
        <f t="shared" si="41"/>
        <v>13197.470588235294</v>
      </c>
      <c r="X72" s="7">
        <f t="shared" si="41"/>
        <v>13197.470588235294</v>
      </c>
      <c r="Y72" s="7">
        <f t="shared" si="41"/>
        <v>13197.470588235294</v>
      </c>
      <c r="Z72" s="7">
        <f t="shared" si="41"/>
        <v>13197.470588235294</v>
      </c>
      <c r="AA72" s="7">
        <f t="shared" si="41"/>
        <v>13197.470588235294</v>
      </c>
      <c r="AB72" s="7">
        <f t="shared" si="41"/>
        <v>13197.470588235294</v>
      </c>
      <c r="AC72" s="7">
        <f t="shared" ref="AC72:AO85" si="42">IF($P72=0,0,IF(AC$1&lt;=$O72,$P72,0))</f>
        <v>13197.470588235294</v>
      </c>
      <c r="AD72" s="7">
        <f t="shared" si="42"/>
        <v>13197.470588235294</v>
      </c>
      <c r="AE72" s="7">
        <f t="shared" si="42"/>
        <v>13197.470588235294</v>
      </c>
      <c r="AF72" s="7">
        <f t="shared" si="42"/>
        <v>13197.470588235294</v>
      </c>
      <c r="AG72" s="7">
        <f t="shared" si="42"/>
        <v>13197.470588235294</v>
      </c>
      <c r="AH72" s="7">
        <f t="shared" si="42"/>
        <v>13197.470588235294</v>
      </c>
      <c r="AI72" s="7">
        <f t="shared" si="42"/>
        <v>13197.470588235294</v>
      </c>
      <c r="AJ72" s="7">
        <f t="shared" si="42"/>
        <v>0</v>
      </c>
      <c r="AK72" s="7">
        <f t="shared" si="42"/>
        <v>0</v>
      </c>
      <c r="AL72" s="7">
        <f t="shared" si="42"/>
        <v>0</v>
      </c>
      <c r="AM72" s="7">
        <f t="shared" si="42"/>
        <v>0</v>
      </c>
      <c r="AN72" s="7">
        <f t="shared" si="42"/>
        <v>0</v>
      </c>
      <c r="AO72" s="7">
        <f t="shared" si="42"/>
        <v>0</v>
      </c>
    </row>
    <row r="73" spans="1:41" x14ac:dyDescent="0.35">
      <c r="A73" s="5" t="s">
        <v>70</v>
      </c>
      <c r="B73" s="5">
        <v>72</v>
      </c>
      <c r="C73" s="7">
        <v>790810</v>
      </c>
      <c r="D73" s="13">
        <v>1.16779994965</v>
      </c>
      <c r="E73" s="6">
        <f t="shared" si="32"/>
        <v>2.3355998993</v>
      </c>
      <c r="F73" s="132">
        <f t="shared" si="40"/>
        <v>0.1</v>
      </c>
      <c r="G73" s="128">
        <f t="shared" si="33"/>
        <v>1.2677999496500001</v>
      </c>
      <c r="H73" s="132">
        <f t="shared" si="40"/>
        <v>0.8</v>
      </c>
      <c r="I73" s="128">
        <f t="shared" si="38"/>
        <v>1.96779994965</v>
      </c>
      <c r="J73" s="7">
        <v>0</v>
      </c>
      <c r="K73" s="7">
        <f t="shared" si="14"/>
        <v>790810</v>
      </c>
      <c r="L73" s="133">
        <f t="shared" si="39"/>
        <v>0</v>
      </c>
      <c r="M73" s="7"/>
      <c r="N73" s="6">
        <f t="shared" si="34"/>
        <v>1.86779994965</v>
      </c>
      <c r="O73" s="6">
        <f t="shared" si="35"/>
        <v>1.9</v>
      </c>
      <c r="P73" s="7">
        <f t="shared" si="36"/>
        <v>43933.888888888898</v>
      </c>
      <c r="Q73" s="131" t="str">
        <f t="shared" si="37"/>
        <v/>
      </c>
      <c r="R73" s="7"/>
      <c r="S73" s="7">
        <f t="shared" si="41"/>
        <v>43933.888888888898</v>
      </c>
      <c r="T73" s="7">
        <f t="shared" si="41"/>
        <v>43933.888888888898</v>
      </c>
      <c r="U73" s="7">
        <f t="shared" si="41"/>
        <v>43933.888888888898</v>
      </c>
      <c r="V73" s="7">
        <f t="shared" si="41"/>
        <v>43933.888888888898</v>
      </c>
      <c r="W73" s="7">
        <f t="shared" si="41"/>
        <v>43933.888888888898</v>
      </c>
      <c r="X73" s="7">
        <f t="shared" si="41"/>
        <v>43933.888888888898</v>
      </c>
      <c r="Y73" s="7">
        <f t="shared" si="41"/>
        <v>43933.888888888898</v>
      </c>
      <c r="Z73" s="7">
        <f t="shared" si="41"/>
        <v>43933.888888888898</v>
      </c>
      <c r="AA73" s="7">
        <f t="shared" si="41"/>
        <v>43933.888888888898</v>
      </c>
      <c r="AB73" s="7">
        <f t="shared" si="41"/>
        <v>43933.888888888898</v>
      </c>
      <c r="AC73" s="7">
        <f t="shared" si="42"/>
        <v>43933.888888888898</v>
      </c>
      <c r="AD73" s="7">
        <f t="shared" si="42"/>
        <v>43933.888888888898</v>
      </c>
      <c r="AE73" s="7">
        <f t="shared" si="42"/>
        <v>43933.888888888898</v>
      </c>
      <c r="AF73" s="7">
        <f t="shared" si="42"/>
        <v>43933.888888888898</v>
      </c>
      <c r="AG73" s="7">
        <f t="shared" si="42"/>
        <v>43933.888888888898</v>
      </c>
      <c r="AH73" s="7">
        <f t="shared" si="42"/>
        <v>43933.888888888898</v>
      </c>
      <c r="AI73" s="7">
        <f t="shared" si="42"/>
        <v>43933.888888888898</v>
      </c>
      <c r="AJ73" s="7">
        <f t="shared" si="42"/>
        <v>43933.888888888898</v>
      </c>
      <c r="AK73" s="7">
        <f t="shared" si="42"/>
        <v>0</v>
      </c>
      <c r="AL73" s="7">
        <f t="shared" si="42"/>
        <v>0</v>
      </c>
      <c r="AM73" s="7">
        <f t="shared" si="42"/>
        <v>0</v>
      </c>
      <c r="AN73" s="7">
        <f t="shared" si="42"/>
        <v>0</v>
      </c>
      <c r="AO73" s="7">
        <f t="shared" si="42"/>
        <v>0</v>
      </c>
    </row>
    <row r="74" spans="1:41" x14ac:dyDescent="0.35">
      <c r="A74" s="5" t="s">
        <v>71</v>
      </c>
      <c r="B74" s="5">
        <v>73</v>
      </c>
      <c r="C74" s="7">
        <v>1283774</v>
      </c>
      <c r="D74" s="13">
        <v>1.14240002632</v>
      </c>
      <c r="E74" s="6">
        <f t="shared" si="32"/>
        <v>2.2848000526400001</v>
      </c>
      <c r="F74" s="132">
        <f t="shared" si="40"/>
        <v>0.1</v>
      </c>
      <c r="G74" s="128">
        <f t="shared" si="33"/>
        <v>1.2424000263200001</v>
      </c>
      <c r="H74" s="132">
        <f t="shared" si="40"/>
        <v>0.8</v>
      </c>
      <c r="I74" s="128">
        <f t="shared" si="38"/>
        <v>1.9424000263200001</v>
      </c>
      <c r="J74" s="7">
        <v>1283774</v>
      </c>
      <c r="K74" s="7">
        <f t="shared" si="14"/>
        <v>0</v>
      </c>
      <c r="L74" s="133">
        <f t="shared" si="39"/>
        <v>1</v>
      </c>
      <c r="M74" s="7"/>
      <c r="N74" s="6">
        <f t="shared" si="34"/>
        <v>1.84240002632</v>
      </c>
      <c r="O74" s="6">
        <f t="shared" si="35"/>
        <v>1.8</v>
      </c>
      <c r="P74" s="7">
        <f t="shared" si="36"/>
        <v>0</v>
      </c>
      <c r="Q74" s="131" t="str">
        <f t="shared" si="37"/>
        <v/>
      </c>
      <c r="R74" s="7"/>
      <c r="S74" s="7">
        <f t="shared" si="41"/>
        <v>0</v>
      </c>
      <c r="T74" s="7">
        <f t="shared" si="41"/>
        <v>0</v>
      </c>
      <c r="U74" s="7">
        <f t="shared" si="41"/>
        <v>0</v>
      </c>
      <c r="V74" s="7">
        <f t="shared" si="41"/>
        <v>0</v>
      </c>
      <c r="W74" s="7">
        <f t="shared" si="41"/>
        <v>0</v>
      </c>
      <c r="X74" s="7">
        <f t="shared" si="41"/>
        <v>0</v>
      </c>
      <c r="Y74" s="7">
        <f t="shared" si="41"/>
        <v>0</v>
      </c>
      <c r="Z74" s="7">
        <f t="shared" si="41"/>
        <v>0</v>
      </c>
      <c r="AA74" s="7">
        <f t="shared" si="41"/>
        <v>0</v>
      </c>
      <c r="AB74" s="7">
        <f t="shared" si="41"/>
        <v>0</v>
      </c>
      <c r="AC74" s="7">
        <f t="shared" si="42"/>
        <v>0</v>
      </c>
      <c r="AD74" s="7">
        <f t="shared" si="42"/>
        <v>0</v>
      </c>
      <c r="AE74" s="7">
        <f t="shared" si="42"/>
        <v>0</v>
      </c>
      <c r="AF74" s="7">
        <f t="shared" si="42"/>
        <v>0</v>
      </c>
      <c r="AG74" s="7">
        <f t="shared" si="42"/>
        <v>0</v>
      </c>
      <c r="AH74" s="7">
        <f t="shared" si="42"/>
        <v>0</v>
      </c>
      <c r="AI74" s="7">
        <f t="shared" si="42"/>
        <v>0</v>
      </c>
      <c r="AJ74" s="7">
        <f t="shared" si="42"/>
        <v>0</v>
      </c>
      <c r="AK74" s="7">
        <f t="shared" si="42"/>
        <v>0</v>
      </c>
      <c r="AL74" s="7">
        <f t="shared" si="42"/>
        <v>0</v>
      </c>
      <c r="AM74" s="7">
        <f t="shared" si="42"/>
        <v>0</v>
      </c>
      <c r="AN74" s="7">
        <f t="shared" si="42"/>
        <v>0</v>
      </c>
      <c r="AO74" s="7">
        <f t="shared" si="42"/>
        <v>0</v>
      </c>
    </row>
    <row r="75" spans="1:41" x14ac:dyDescent="0.35">
      <c r="A75" s="5" t="s">
        <v>72</v>
      </c>
      <c r="B75" s="5">
        <v>74</v>
      </c>
      <c r="C75" s="7">
        <v>1133856</v>
      </c>
      <c r="D75" s="8">
        <v>1.1533000469200001</v>
      </c>
      <c r="E75" s="6">
        <f t="shared" si="32"/>
        <v>2.3066000938400002</v>
      </c>
      <c r="F75" s="132">
        <f t="shared" si="40"/>
        <v>0.1</v>
      </c>
      <c r="G75" s="128">
        <f t="shared" si="33"/>
        <v>1.2533000469200002</v>
      </c>
      <c r="H75" s="132">
        <f t="shared" si="40"/>
        <v>0.8</v>
      </c>
      <c r="I75" s="128">
        <f t="shared" si="38"/>
        <v>1.9533000469200001</v>
      </c>
      <c r="J75" s="7">
        <v>1133856</v>
      </c>
      <c r="K75" s="7">
        <f t="shared" si="14"/>
        <v>0</v>
      </c>
      <c r="L75" s="133">
        <f t="shared" si="39"/>
        <v>1</v>
      </c>
      <c r="M75" s="7"/>
      <c r="N75" s="6">
        <f t="shared" si="34"/>
        <v>1.8533000469200001</v>
      </c>
      <c r="O75" s="6">
        <f t="shared" si="35"/>
        <v>1.9</v>
      </c>
      <c r="P75" s="7">
        <f t="shared" si="36"/>
        <v>0</v>
      </c>
      <c r="Q75" s="131" t="str">
        <f t="shared" si="37"/>
        <v/>
      </c>
      <c r="R75" s="7"/>
      <c r="S75" s="7">
        <f t="shared" si="41"/>
        <v>0</v>
      </c>
      <c r="T75" s="7">
        <f t="shared" si="41"/>
        <v>0</v>
      </c>
      <c r="U75" s="7">
        <f t="shared" si="41"/>
        <v>0</v>
      </c>
      <c r="V75" s="7">
        <f t="shared" si="41"/>
        <v>0</v>
      </c>
      <c r="W75" s="7">
        <f t="shared" si="41"/>
        <v>0</v>
      </c>
      <c r="X75" s="7">
        <f t="shared" si="41"/>
        <v>0</v>
      </c>
      <c r="Y75" s="7">
        <f t="shared" si="41"/>
        <v>0</v>
      </c>
      <c r="Z75" s="7">
        <f t="shared" si="41"/>
        <v>0</v>
      </c>
      <c r="AA75" s="7">
        <f t="shared" si="41"/>
        <v>0</v>
      </c>
      <c r="AB75" s="7">
        <f t="shared" si="41"/>
        <v>0</v>
      </c>
      <c r="AC75" s="7">
        <f t="shared" si="42"/>
        <v>0</v>
      </c>
      <c r="AD75" s="7">
        <f t="shared" si="42"/>
        <v>0</v>
      </c>
      <c r="AE75" s="7">
        <f t="shared" si="42"/>
        <v>0</v>
      </c>
      <c r="AF75" s="7">
        <f t="shared" si="42"/>
        <v>0</v>
      </c>
      <c r="AG75" s="7">
        <f t="shared" si="42"/>
        <v>0</v>
      </c>
      <c r="AH75" s="7">
        <f t="shared" si="42"/>
        <v>0</v>
      </c>
      <c r="AI75" s="7">
        <f t="shared" si="42"/>
        <v>0</v>
      </c>
      <c r="AJ75" s="7">
        <f t="shared" si="42"/>
        <v>0</v>
      </c>
      <c r="AK75" s="7">
        <f t="shared" si="42"/>
        <v>0</v>
      </c>
      <c r="AL75" s="7">
        <f t="shared" si="42"/>
        <v>0</v>
      </c>
      <c r="AM75" s="7">
        <f t="shared" si="42"/>
        <v>0</v>
      </c>
      <c r="AN75" s="7">
        <f t="shared" si="42"/>
        <v>0</v>
      </c>
      <c r="AO75" s="7">
        <f t="shared" si="42"/>
        <v>0</v>
      </c>
    </row>
    <row r="76" spans="1:41" x14ac:dyDescent="0.35">
      <c r="A76" s="5" t="s">
        <v>73</v>
      </c>
      <c r="B76" s="5">
        <v>75</v>
      </c>
      <c r="C76" s="7">
        <v>3104133.9101789999</v>
      </c>
      <c r="D76" s="13">
        <v>1.1550999879799999</v>
      </c>
      <c r="E76" s="6">
        <f t="shared" si="32"/>
        <v>2.3101999759599998</v>
      </c>
      <c r="F76" s="132">
        <f t="shared" si="40"/>
        <v>0.1</v>
      </c>
      <c r="G76" s="128">
        <f t="shared" si="33"/>
        <v>1.25509998798</v>
      </c>
      <c r="H76" s="132">
        <f t="shared" si="40"/>
        <v>0.8</v>
      </c>
      <c r="I76" s="128">
        <f t="shared" si="38"/>
        <v>1.95509998798</v>
      </c>
      <c r="J76" s="7">
        <v>2330166</v>
      </c>
      <c r="K76" s="7">
        <f t="shared" si="14"/>
        <v>773967.91017899988</v>
      </c>
      <c r="L76" s="133">
        <f t="shared" si="39"/>
        <v>0.75066542469671704</v>
      </c>
      <c r="M76" s="7"/>
      <c r="N76" s="6">
        <f t="shared" si="34"/>
        <v>1.8550999879799999</v>
      </c>
      <c r="O76" s="6">
        <f t="shared" si="35"/>
        <v>1.9</v>
      </c>
      <c r="P76" s="7">
        <f t="shared" si="36"/>
        <v>42998.217232166666</v>
      </c>
      <c r="Q76" s="131" t="str">
        <f t="shared" si="37"/>
        <v/>
      </c>
      <c r="R76" s="7"/>
      <c r="S76" s="7">
        <f t="shared" si="41"/>
        <v>42998.217232166666</v>
      </c>
      <c r="T76" s="7">
        <f t="shared" si="41"/>
        <v>42998.217232166666</v>
      </c>
      <c r="U76" s="7">
        <f t="shared" si="41"/>
        <v>42998.217232166666</v>
      </c>
      <c r="V76" s="7">
        <f t="shared" si="41"/>
        <v>42998.217232166666</v>
      </c>
      <c r="W76" s="7">
        <f t="shared" si="41"/>
        <v>42998.217232166666</v>
      </c>
      <c r="X76" s="7">
        <f t="shared" si="41"/>
        <v>42998.217232166666</v>
      </c>
      <c r="Y76" s="7">
        <f t="shared" si="41"/>
        <v>42998.217232166666</v>
      </c>
      <c r="Z76" s="7">
        <f t="shared" si="41"/>
        <v>42998.217232166666</v>
      </c>
      <c r="AA76" s="7">
        <f t="shared" si="41"/>
        <v>42998.217232166666</v>
      </c>
      <c r="AB76" s="7">
        <f t="shared" si="41"/>
        <v>42998.217232166666</v>
      </c>
      <c r="AC76" s="7">
        <f t="shared" si="42"/>
        <v>42998.217232166666</v>
      </c>
      <c r="AD76" s="7">
        <f t="shared" si="42"/>
        <v>42998.217232166666</v>
      </c>
      <c r="AE76" s="7">
        <f t="shared" si="42"/>
        <v>42998.217232166666</v>
      </c>
      <c r="AF76" s="7">
        <f t="shared" si="42"/>
        <v>42998.217232166666</v>
      </c>
      <c r="AG76" s="7">
        <f t="shared" si="42"/>
        <v>42998.217232166666</v>
      </c>
      <c r="AH76" s="7">
        <f t="shared" si="42"/>
        <v>42998.217232166666</v>
      </c>
      <c r="AI76" s="7">
        <f t="shared" si="42"/>
        <v>42998.217232166666</v>
      </c>
      <c r="AJ76" s="7">
        <f t="shared" si="42"/>
        <v>42998.217232166666</v>
      </c>
      <c r="AK76" s="7">
        <f t="shared" si="42"/>
        <v>0</v>
      </c>
      <c r="AL76" s="7">
        <f t="shared" si="42"/>
        <v>0</v>
      </c>
      <c r="AM76" s="7">
        <f t="shared" si="42"/>
        <v>0</v>
      </c>
      <c r="AN76" s="7">
        <f t="shared" si="42"/>
        <v>0</v>
      </c>
      <c r="AO76" s="7">
        <f t="shared" si="42"/>
        <v>0</v>
      </c>
    </row>
    <row r="77" spans="1:41" x14ac:dyDescent="0.35">
      <c r="A77" s="5" t="s">
        <v>74</v>
      </c>
      <c r="B77" s="5">
        <v>76</v>
      </c>
      <c r="C77" s="7">
        <v>2173371</v>
      </c>
      <c r="D77" s="8">
        <v>1.15799999237</v>
      </c>
      <c r="E77" s="6">
        <f t="shared" si="32"/>
        <v>2.3159999847399999</v>
      </c>
      <c r="F77" s="132">
        <f t="shared" si="40"/>
        <v>0.1</v>
      </c>
      <c r="G77" s="128">
        <f t="shared" si="33"/>
        <v>1.25799999237</v>
      </c>
      <c r="H77" s="132">
        <f t="shared" si="40"/>
        <v>0.8</v>
      </c>
      <c r="I77" s="128">
        <f t="shared" si="38"/>
        <v>1.95799999237</v>
      </c>
      <c r="J77" s="7">
        <v>1468626</v>
      </c>
      <c r="K77" s="7">
        <f t="shared" si="14"/>
        <v>704745</v>
      </c>
      <c r="L77" s="133">
        <f t="shared" si="39"/>
        <v>0.67573644812597577</v>
      </c>
      <c r="M77" s="7"/>
      <c r="N77" s="6">
        <f t="shared" si="34"/>
        <v>1.8579999923699999</v>
      </c>
      <c r="O77" s="6">
        <f t="shared" si="35"/>
        <v>1.9</v>
      </c>
      <c r="P77" s="7">
        <f t="shared" si="36"/>
        <v>39152.500000000007</v>
      </c>
      <c r="Q77" s="131" t="str">
        <f t="shared" si="37"/>
        <v/>
      </c>
      <c r="R77" s="7"/>
      <c r="S77" s="7">
        <f t="shared" si="41"/>
        <v>39152.500000000007</v>
      </c>
      <c r="T77" s="7">
        <f t="shared" si="41"/>
        <v>39152.500000000007</v>
      </c>
      <c r="U77" s="7">
        <f t="shared" si="41"/>
        <v>39152.500000000007</v>
      </c>
      <c r="V77" s="7">
        <f t="shared" si="41"/>
        <v>39152.500000000007</v>
      </c>
      <c r="W77" s="7">
        <f t="shared" si="41"/>
        <v>39152.500000000007</v>
      </c>
      <c r="X77" s="7">
        <f t="shared" si="41"/>
        <v>39152.500000000007</v>
      </c>
      <c r="Y77" s="7">
        <f t="shared" si="41"/>
        <v>39152.500000000007</v>
      </c>
      <c r="Z77" s="7">
        <f t="shared" si="41"/>
        <v>39152.500000000007</v>
      </c>
      <c r="AA77" s="7">
        <f t="shared" si="41"/>
        <v>39152.500000000007</v>
      </c>
      <c r="AB77" s="7">
        <f t="shared" si="41"/>
        <v>39152.500000000007</v>
      </c>
      <c r="AC77" s="7">
        <f t="shared" si="42"/>
        <v>39152.500000000007</v>
      </c>
      <c r="AD77" s="7">
        <f t="shared" si="42"/>
        <v>39152.500000000007</v>
      </c>
      <c r="AE77" s="7">
        <f t="shared" si="42"/>
        <v>39152.500000000007</v>
      </c>
      <c r="AF77" s="7">
        <f t="shared" si="42"/>
        <v>39152.500000000007</v>
      </c>
      <c r="AG77" s="7">
        <f t="shared" si="42"/>
        <v>39152.500000000007</v>
      </c>
      <c r="AH77" s="7">
        <f t="shared" si="42"/>
        <v>39152.500000000007</v>
      </c>
      <c r="AI77" s="7">
        <f t="shared" si="42"/>
        <v>39152.500000000007</v>
      </c>
      <c r="AJ77" s="7">
        <f t="shared" si="42"/>
        <v>39152.500000000007</v>
      </c>
      <c r="AK77" s="7">
        <f t="shared" si="42"/>
        <v>0</v>
      </c>
      <c r="AL77" s="7">
        <f t="shared" si="42"/>
        <v>0</v>
      </c>
      <c r="AM77" s="7">
        <f t="shared" si="42"/>
        <v>0</v>
      </c>
      <c r="AN77" s="7">
        <f t="shared" si="42"/>
        <v>0</v>
      </c>
      <c r="AO77" s="7">
        <f t="shared" si="42"/>
        <v>0</v>
      </c>
    </row>
    <row r="78" spans="1:41" x14ac:dyDescent="0.35">
      <c r="A78" s="5" t="s">
        <v>75</v>
      </c>
      <c r="B78" s="5">
        <v>77</v>
      </c>
      <c r="C78" s="7">
        <v>1790604</v>
      </c>
      <c r="D78" s="8">
        <v>1.1565999984699999</v>
      </c>
      <c r="E78" s="6">
        <f t="shared" si="32"/>
        <v>2.3131999969399999</v>
      </c>
      <c r="F78" s="132">
        <f t="shared" si="40"/>
        <v>0.1</v>
      </c>
      <c r="G78" s="128">
        <f t="shared" si="33"/>
        <v>1.25659999847</v>
      </c>
      <c r="H78" s="132">
        <f t="shared" si="40"/>
        <v>0.8</v>
      </c>
      <c r="I78" s="128">
        <f t="shared" si="38"/>
        <v>1.95659999847</v>
      </c>
      <c r="J78" s="7">
        <v>1035504</v>
      </c>
      <c r="K78" s="7">
        <f t="shared" ref="K78:K85" si="43">C78-J78</f>
        <v>755100</v>
      </c>
      <c r="L78" s="133">
        <f t="shared" si="39"/>
        <v>0.57829871931482335</v>
      </c>
      <c r="M78" s="7"/>
      <c r="N78" s="6">
        <f t="shared" si="34"/>
        <v>1.8565999984699999</v>
      </c>
      <c r="O78" s="6">
        <f t="shared" si="35"/>
        <v>1.9</v>
      </c>
      <c r="P78" s="7">
        <f t="shared" si="36"/>
        <v>41950.000000000007</v>
      </c>
      <c r="Q78" s="131" t="str">
        <f t="shared" si="37"/>
        <v/>
      </c>
      <c r="R78" s="7"/>
      <c r="S78" s="7">
        <f t="shared" si="41"/>
        <v>41950.000000000007</v>
      </c>
      <c r="T78" s="7">
        <f t="shared" si="41"/>
        <v>41950.000000000007</v>
      </c>
      <c r="U78" s="7">
        <f t="shared" si="41"/>
        <v>41950.000000000007</v>
      </c>
      <c r="V78" s="7">
        <f t="shared" si="41"/>
        <v>41950.000000000007</v>
      </c>
      <c r="W78" s="7">
        <f t="shared" si="41"/>
        <v>41950.000000000007</v>
      </c>
      <c r="X78" s="7">
        <f t="shared" si="41"/>
        <v>41950.000000000007</v>
      </c>
      <c r="Y78" s="7">
        <f t="shared" si="41"/>
        <v>41950.000000000007</v>
      </c>
      <c r="Z78" s="7">
        <f t="shared" si="41"/>
        <v>41950.000000000007</v>
      </c>
      <c r="AA78" s="7">
        <f t="shared" si="41"/>
        <v>41950.000000000007</v>
      </c>
      <c r="AB78" s="7">
        <f t="shared" si="41"/>
        <v>41950.000000000007</v>
      </c>
      <c r="AC78" s="7">
        <f t="shared" si="42"/>
        <v>41950.000000000007</v>
      </c>
      <c r="AD78" s="7">
        <f t="shared" si="42"/>
        <v>41950.000000000007</v>
      </c>
      <c r="AE78" s="7">
        <f t="shared" si="42"/>
        <v>41950.000000000007</v>
      </c>
      <c r="AF78" s="7">
        <f t="shared" si="42"/>
        <v>41950.000000000007</v>
      </c>
      <c r="AG78" s="7">
        <f t="shared" si="42"/>
        <v>41950.000000000007</v>
      </c>
      <c r="AH78" s="7">
        <f t="shared" si="42"/>
        <v>41950.000000000007</v>
      </c>
      <c r="AI78" s="7">
        <f t="shared" si="42"/>
        <v>41950.000000000007</v>
      </c>
      <c r="AJ78" s="7">
        <f t="shared" si="42"/>
        <v>41950.000000000007</v>
      </c>
      <c r="AK78" s="7">
        <f t="shared" si="42"/>
        <v>0</v>
      </c>
      <c r="AL78" s="7">
        <f t="shared" si="42"/>
        <v>0</v>
      </c>
      <c r="AM78" s="7">
        <f t="shared" si="42"/>
        <v>0</v>
      </c>
      <c r="AN78" s="7">
        <f t="shared" si="42"/>
        <v>0</v>
      </c>
      <c r="AO78" s="7">
        <f t="shared" si="42"/>
        <v>0</v>
      </c>
    </row>
    <row r="79" spans="1:41" x14ac:dyDescent="0.35">
      <c r="A79" s="5" t="s">
        <v>76</v>
      </c>
      <c r="B79" s="5">
        <v>78</v>
      </c>
      <c r="C79" s="7">
        <v>233186</v>
      </c>
      <c r="D79" s="8">
        <v>1.16089999676</v>
      </c>
      <c r="E79" s="6">
        <f t="shared" si="32"/>
        <v>2.32179999352</v>
      </c>
      <c r="F79" s="132">
        <f t="shared" si="40"/>
        <v>0.1</v>
      </c>
      <c r="G79" s="128">
        <f t="shared" si="33"/>
        <v>1.2608999967600001</v>
      </c>
      <c r="H79" s="132">
        <f t="shared" si="40"/>
        <v>0.8</v>
      </c>
      <c r="I79" s="128">
        <f t="shared" si="38"/>
        <v>1.96089999676</v>
      </c>
      <c r="J79" s="7">
        <v>233186</v>
      </c>
      <c r="K79" s="7">
        <f t="shared" si="43"/>
        <v>0</v>
      </c>
      <c r="L79" s="133">
        <f t="shared" si="39"/>
        <v>1</v>
      </c>
      <c r="M79" s="7"/>
      <c r="N79" s="6">
        <f t="shared" si="34"/>
        <v>1.86089999676</v>
      </c>
      <c r="O79" s="6">
        <f t="shared" si="35"/>
        <v>1.9</v>
      </c>
      <c r="P79" s="7">
        <f t="shared" si="36"/>
        <v>0</v>
      </c>
      <c r="Q79" s="131" t="str">
        <f t="shared" si="37"/>
        <v/>
      </c>
      <c r="R79" s="7"/>
      <c r="S79" s="7">
        <f t="shared" si="41"/>
        <v>0</v>
      </c>
      <c r="T79" s="7">
        <f t="shared" si="41"/>
        <v>0</v>
      </c>
      <c r="U79" s="7">
        <f t="shared" si="41"/>
        <v>0</v>
      </c>
      <c r="V79" s="7">
        <f t="shared" si="41"/>
        <v>0</v>
      </c>
      <c r="W79" s="7">
        <f t="shared" si="41"/>
        <v>0</v>
      </c>
      <c r="X79" s="7">
        <f t="shared" si="41"/>
        <v>0</v>
      </c>
      <c r="Y79" s="7">
        <f t="shared" si="41"/>
        <v>0</v>
      </c>
      <c r="Z79" s="7">
        <f t="shared" si="41"/>
        <v>0</v>
      </c>
      <c r="AA79" s="7">
        <f t="shared" si="41"/>
        <v>0</v>
      </c>
      <c r="AB79" s="7">
        <f t="shared" si="41"/>
        <v>0</v>
      </c>
      <c r="AC79" s="7">
        <f t="shared" si="42"/>
        <v>0</v>
      </c>
      <c r="AD79" s="7">
        <f t="shared" si="42"/>
        <v>0</v>
      </c>
      <c r="AE79" s="7">
        <f t="shared" si="42"/>
        <v>0</v>
      </c>
      <c r="AF79" s="7">
        <f t="shared" si="42"/>
        <v>0</v>
      </c>
      <c r="AG79" s="7">
        <f t="shared" si="42"/>
        <v>0</v>
      </c>
      <c r="AH79" s="7">
        <f t="shared" si="42"/>
        <v>0</v>
      </c>
      <c r="AI79" s="7">
        <f t="shared" si="42"/>
        <v>0</v>
      </c>
      <c r="AJ79" s="7">
        <f t="shared" si="42"/>
        <v>0</v>
      </c>
      <c r="AK79" s="7">
        <f t="shared" si="42"/>
        <v>0</v>
      </c>
      <c r="AL79" s="7">
        <f t="shared" si="42"/>
        <v>0</v>
      </c>
      <c r="AM79" s="7">
        <f t="shared" si="42"/>
        <v>0</v>
      </c>
      <c r="AN79" s="7">
        <f t="shared" si="42"/>
        <v>0</v>
      </c>
      <c r="AO79" s="7">
        <f t="shared" si="42"/>
        <v>0</v>
      </c>
    </row>
    <row r="80" spans="1:41" x14ac:dyDescent="0.35">
      <c r="A80" s="5" t="s">
        <v>77</v>
      </c>
      <c r="B80" s="5">
        <v>79</v>
      </c>
      <c r="C80" s="7">
        <v>105351</v>
      </c>
      <c r="D80" s="8">
        <v>1.15550005436</v>
      </c>
      <c r="E80" s="6">
        <f t="shared" si="32"/>
        <v>2.3110001087200001</v>
      </c>
      <c r="F80" s="132">
        <f t="shared" si="40"/>
        <v>0.1</v>
      </c>
      <c r="G80" s="128">
        <f t="shared" si="33"/>
        <v>1.2555000543600001</v>
      </c>
      <c r="H80" s="132">
        <f t="shared" si="40"/>
        <v>0.8</v>
      </c>
      <c r="I80" s="128">
        <f t="shared" si="38"/>
        <v>1.9555000543600001</v>
      </c>
      <c r="J80" s="7">
        <v>0</v>
      </c>
      <c r="K80" s="7">
        <f t="shared" si="43"/>
        <v>105351</v>
      </c>
      <c r="L80" s="133">
        <f t="shared" si="39"/>
        <v>0</v>
      </c>
      <c r="M80" s="7"/>
      <c r="N80" s="6">
        <f t="shared" si="34"/>
        <v>1.85550005436</v>
      </c>
      <c r="O80" s="6">
        <f t="shared" si="35"/>
        <v>1.9</v>
      </c>
      <c r="P80" s="7">
        <f t="shared" si="36"/>
        <v>5852.8333333333348</v>
      </c>
      <c r="Q80" s="131" t="str">
        <f t="shared" si="37"/>
        <v/>
      </c>
      <c r="R80" s="7"/>
      <c r="S80" s="7">
        <f t="shared" si="41"/>
        <v>5852.8333333333348</v>
      </c>
      <c r="T80" s="7">
        <f t="shared" si="41"/>
        <v>5852.8333333333348</v>
      </c>
      <c r="U80" s="7">
        <f t="shared" si="41"/>
        <v>5852.8333333333348</v>
      </c>
      <c r="V80" s="7">
        <f t="shared" si="41"/>
        <v>5852.8333333333348</v>
      </c>
      <c r="W80" s="7">
        <f t="shared" si="41"/>
        <v>5852.8333333333348</v>
      </c>
      <c r="X80" s="7">
        <f t="shared" si="41"/>
        <v>5852.8333333333348</v>
      </c>
      <c r="Y80" s="7">
        <f t="shared" si="41"/>
        <v>5852.8333333333348</v>
      </c>
      <c r="Z80" s="7">
        <f t="shared" si="41"/>
        <v>5852.8333333333348</v>
      </c>
      <c r="AA80" s="7">
        <f t="shared" si="41"/>
        <v>5852.8333333333348</v>
      </c>
      <c r="AB80" s="7">
        <f t="shared" si="41"/>
        <v>5852.8333333333348</v>
      </c>
      <c r="AC80" s="7">
        <f t="shared" si="42"/>
        <v>5852.8333333333348</v>
      </c>
      <c r="AD80" s="7">
        <f t="shared" si="42"/>
        <v>5852.8333333333348</v>
      </c>
      <c r="AE80" s="7">
        <f t="shared" si="42"/>
        <v>5852.8333333333348</v>
      </c>
      <c r="AF80" s="7">
        <f t="shared" si="42"/>
        <v>5852.8333333333348</v>
      </c>
      <c r="AG80" s="7">
        <f t="shared" si="42"/>
        <v>5852.8333333333348</v>
      </c>
      <c r="AH80" s="7">
        <f t="shared" si="42"/>
        <v>5852.8333333333348</v>
      </c>
      <c r="AI80" s="7">
        <f t="shared" si="42"/>
        <v>5852.8333333333348</v>
      </c>
      <c r="AJ80" s="7">
        <f t="shared" si="42"/>
        <v>5852.8333333333348</v>
      </c>
      <c r="AK80" s="7">
        <f t="shared" si="42"/>
        <v>0</v>
      </c>
      <c r="AL80" s="7">
        <f t="shared" si="42"/>
        <v>0</v>
      </c>
      <c r="AM80" s="7">
        <f t="shared" si="42"/>
        <v>0</v>
      </c>
      <c r="AN80" s="7">
        <f t="shared" si="42"/>
        <v>0</v>
      </c>
      <c r="AO80" s="7">
        <f t="shared" si="42"/>
        <v>0</v>
      </c>
    </row>
    <row r="81" spans="1:41" x14ac:dyDescent="0.35">
      <c r="A81" s="5" t="s">
        <v>78</v>
      </c>
      <c r="B81" s="5">
        <v>80</v>
      </c>
      <c r="C81" s="7">
        <v>266243</v>
      </c>
      <c r="D81" s="8">
        <v>1.1605999469799999</v>
      </c>
      <c r="E81" s="6">
        <f t="shared" si="32"/>
        <v>2.3211998939599998</v>
      </c>
      <c r="F81" s="132">
        <f t="shared" si="40"/>
        <v>0.1</v>
      </c>
      <c r="G81" s="128">
        <f t="shared" si="33"/>
        <v>1.26059994698</v>
      </c>
      <c r="H81" s="132">
        <f t="shared" si="40"/>
        <v>0.8</v>
      </c>
      <c r="I81" s="128">
        <f t="shared" si="38"/>
        <v>1.96059994698</v>
      </c>
      <c r="J81" s="7">
        <v>266243</v>
      </c>
      <c r="K81" s="7">
        <f t="shared" si="43"/>
        <v>0</v>
      </c>
      <c r="L81" s="133">
        <f t="shared" si="39"/>
        <v>1</v>
      </c>
      <c r="M81" s="7"/>
      <c r="N81" s="6">
        <f t="shared" si="34"/>
        <v>1.8605999469799999</v>
      </c>
      <c r="O81" s="6">
        <f t="shared" si="35"/>
        <v>1.9</v>
      </c>
      <c r="P81" s="7">
        <f t="shared" si="36"/>
        <v>0</v>
      </c>
      <c r="Q81" s="131" t="str">
        <f t="shared" si="37"/>
        <v/>
      </c>
      <c r="R81" s="7"/>
      <c r="S81" s="7">
        <f t="shared" si="41"/>
        <v>0</v>
      </c>
      <c r="T81" s="7">
        <f t="shared" si="41"/>
        <v>0</v>
      </c>
      <c r="U81" s="7">
        <f t="shared" si="41"/>
        <v>0</v>
      </c>
      <c r="V81" s="7">
        <f t="shared" si="41"/>
        <v>0</v>
      </c>
      <c r="W81" s="7">
        <f t="shared" si="41"/>
        <v>0</v>
      </c>
      <c r="X81" s="7">
        <f t="shared" si="41"/>
        <v>0</v>
      </c>
      <c r="Y81" s="7">
        <f t="shared" si="41"/>
        <v>0</v>
      </c>
      <c r="Z81" s="7">
        <f t="shared" si="41"/>
        <v>0</v>
      </c>
      <c r="AA81" s="7">
        <f t="shared" si="41"/>
        <v>0</v>
      </c>
      <c r="AB81" s="7">
        <f t="shared" si="41"/>
        <v>0</v>
      </c>
      <c r="AC81" s="7">
        <f t="shared" si="42"/>
        <v>0</v>
      </c>
      <c r="AD81" s="7">
        <f t="shared" si="42"/>
        <v>0</v>
      </c>
      <c r="AE81" s="7">
        <f t="shared" si="42"/>
        <v>0</v>
      </c>
      <c r="AF81" s="7">
        <f t="shared" si="42"/>
        <v>0</v>
      </c>
      <c r="AG81" s="7">
        <f t="shared" si="42"/>
        <v>0</v>
      </c>
      <c r="AH81" s="7">
        <f t="shared" si="42"/>
        <v>0</v>
      </c>
      <c r="AI81" s="7">
        <f t="shared" si="42"/>
        <v>0</v>
      </c>
      <c r="AJ81" s="7">
        <f t="shared" si="42"/>
        <v>0</v>
      </c>
      <c r="AK81" s="7">
        <f t="shared" si="42"/>
        <v>0</v>
      </c>
      <c r="AL81" s="7">
        <f t="shared" si="42"/>
        <v>0</v>
      </c>
      <c r="AM81" s="7">
        <f t="shared" si="42"/>
        <v>0</v>
      </c>
      <c r="AN81" s="7">
        <f t="shared" si="42"/>
        <v>0</v>
      </c>
      <c r="AO81" s="7">
        <f t="shared" si="42"/>
        <v>0</v>
      </c>
    </row>
    <row r="82" spans="1:41" x14ac:dyDescent="0.35">
      <c r="A82" s="5" t="s">
        <v>79</v>
      </c>
      <c r="B82" s="5">
        <v>81</v>
      </c>
      <c r="C82" s="7">
        <v>359069</v>
      </c>
      <c r="D82" s="8">
        <v>1.1603000163999999</v>
      </c>
      <c r="E82" s="6">
        <f t="shared" si="32"/>
        <v>2.3206000327999998</v>
      </c>
      <c r="F82" s="132">
        <f t="shared" si="40"/>
        <v>0.1</v>
      </c>
      <c r="G82" s="128">
        <f t="shared" si="33"/>
        <v>1.2603000164</v>
      </c>
      <c r="H82" s="132">
        <f t="shared" si="40"/>
        <v>0.8</v>
      </c>
      <c r="I82" s="128">
        <f t="shared" si="38"/>
        <v>1.9603000164</v>
      </c>
      <c r="J82" s="7">
        <v>205874</v>
      </c>
      <c r="K82" s="7">
        <f t="shared" si="43"/>
        <v>153195</v>
      </c>
      <c r="L82" s="133">
        <f t="shared" si="39"/>
        <v>0.57335498191155465</v>
      </c>
      <c r="M82" s="7"/>
      <c r="N82" s="6">
        <f t="shared" si="34"/>
        <v>1.8603000163999999</v>
      </c>
      <c r="O82" s="6">
        <f t="shared" si="35"/>
        <v>1.9</v>
      </c>
      <c r="P82" s="7">
        <f t="shared" si="36"/>
        <v>8510.8333333333358</v>
      </c>
      <c r="Q82" s="131" t="str">
        <f t="shared" si="37"/>
        <v/>
      </c>
      <c r="R82" s="7"/>
      <c r="S82" s="7">
        <f t="shared" si="41"/>
        <v>8510.8333333333358</v>
      </c>
      <c r="T82" s="7">
        <f t="shared" si="41"/>
        <v>8510.8333333333358</v>
      </c>
      <c r="U82" s="7">
        <f t="shared" si="41"/>
        <v>8510.8333333333358</v>
      </c>
      <c r="V82" s="7">
        <f t="shared" si="41"/>
        <v>8510.8333333333358</v>
      </c>
      <c r="W82" s="7">
        <f t="shared" si="41"/>
        <v>8510.8333333333358</v>
      </c>
      <c r="X82" s="7">
        <f t="shared" si="41"/>
        <v>8510.8333333333358</v>
      </c>
      <c r="Y82" s="7">
        <f t="shared" si="41"/>
        <v>8510.8333333333358</v>
      </c>
      <c r="Z82" s="7">
        <f t="shared" si="41"/>
        <v>8510.8333333333358</v>
      </c>
      <c r="AA82" s="7">
        <f t="shared" si="41"/>
        <v>8510.8333333333358</v>
      </c>
      <c r="AB82" s="7">
        <f t="shared" si="41"/>
        <v>8510.8333333333358</v>
      </c>
      <c r="AC82" s="7">
        <f t="shared" si="42"/>
        <v>8510.8333333333358</v>
      </c>
      <c r="AD82" s="7">
        <f t="shared" si="42"/>
        <v>8510.8333333333358</v>
      </c>
      <c r="AE82" s="7">
        <f t="shared" si="42"/>
        <v>8510.8333333333358</v>
      </c>
      <c r="AF82" s="7">
        <f t="shared" si="42"/>
        <v>8510.8333333333358</v>
      </c>
      <c r="AG82" s="7">
        <f t="shared" si="42"/>
        <v>8510.8333333333358</v>
      </c>
      <c r="AH82" s="7">
        <f t="shared" si="42"/>
        <v>8510.8333333333358</v>
      </c>
      <c r="AI82" s="7">
        <f t="shared" si="42"/>
        <v>8510.8333333333358</v>
      </c>
      <c r="AJ82" s="7">
        <f t="shared" si="42"/>
        <v>8510.8333333333358</v>
      </c>
      <c r="AK82" s="7">
        <f t="shared" si="42"/>
        <v>0</v>
      </c>
      <c r="AL82" s="7">
        <f t="shared" si="42"/>
        <v>0</v>
      </c>
      <c r="AM82" s="7">
        <f t="shared" si="42"/>
        <v>0</v>
      </c>
      <c r="AN82" s="7">
        <f t="shared" si="42"/>
        <v>0</v>
      </c>
      <c r="AO82" s="7">
        <f t="shared" si="42"/>
        <v>0</v>
      </c>
    </row>
    <row r="83" spans="1:41" s="122" customFormat="1" x14ac:dyDescent="0.35">
      <c r="A83" s="122" t="s">
        <v>80</v>
      </c>
      <c r="B83" s="122">
        <v>82</v>
      </c>
      <c r="C83" s="123">
        <v>123197</v>
      </c>
      <c r="D83" s="8">
        <v>1.16190004349</v>
      </c>
      <c r="E83" s="121">
        <f t="shared" si="32"/>
        <v>2.32380008698</v>
      </c>
      <c r="F83" s="132">
        <f t="shared" si="40"/>
        <v>0.1</v>
      </c>
      <c r="G83" s="128">
        <f>D83+F83</f>
        <v>1.2619000434900001</v>
      </c>
      <c r="H83" s="132">
        <f t="shared" si="40"/>
        <v>0.8</v>
      </c>
      <c r="I83" s="128">
        <f t="shared" si="38"/>
        <v>1.96190004349</v>
      </c>
      <c r="J83" s="123">
        <v>0</v>
      </c>
      <c r="K83" s="7">
        <f t="shared" si="43"/>
        <v>123197</v>
      </c>
      <c r="L83" s="133">
        <f t="shared" si="39"/>
        <v>0</v>
      </c>
      <c r="M83" s="7"/>
      <c r="N83" s="6">
        <f t="shared" si="34"/>
        <v>1.8619000434899999</v>
      </c>
      <c r="O83" s="6">
        <f t="shared" si="35"/>
        <v>1.9</v>
      </c>
      <c r="P83" s="7">
        <f t="shared" si="36"/>
        <v>6844.2777777777792</v>
      </c>
      <c r="Q83" s="131" t="str">
        <f t="shared" si="37"/>
        <v/>
      </c>
      <c r="R83" s="7"/>
      <c r="S83" s="7">
        <f t="shared" si="41"/>
        <v>6844.2777777777792</v>
      </c>
      <c r="T83" s="7">
        <f t="shared" si="41"/>
        <v>6844.2777777777792</v>
      </c>
      <c r="U83" s="7">
        <f t="shared" si="41"/>
        <v>6844.2777777777792</v>
      </c>
      <c r="V83" s="7">
        <f t="shared" si="41"/>
        <v>6844.2777777777792</v>
      </c>
      <c r="W83" s="7">
        <f t="shared" si="41"/>
        <v>6844.2777777777792</v>
      </c>
      <c r="X83" s="7">
        <f t="shared" si="41"/>
        <v>6844.2777777777792</v>
      </c>
      <c r="Y83" s="7">
        <f t="shared" si="41"/>
        <v>6844.2777777777792</v>
      </c>
      <c r="Z83" s="7">
        <f t="shared" si="41"/>
        <v>6844.2777777777792</v>
      </c>
      <c r="AA83" s="7">
        <f t="shared" si="41"/>
        <v>6844.2777777777792</v>
      </c>
      <c r="AB83" s="7">
        <f t="shared" si="41"/>
        <v>6844.2777777777792</v>
      </c>
      <c r="AC83" s="7">
        <f t="shared" si="42"/>
        <v>6844.2777777777792</v>
      </c>
      <c r="AD83" s="7">
        <f t="shared" si="42"/>
        <v>6844.2777777777792</v>
      </c>
      <c r="AE83" s="7">
        <f t="shared" si="42"/>
        <v>6844.2777777777792</v>
      </c>
      <c r="AF83" s="7">
        <f t="shared" si="42"/>
        <v>6844.2777777777792</v>
      </c>
      <c r="AG83" s="7">
        <f t="shared" si="42"/>
        <v>6844.2777777777792</v>
      </c>
      <c r="AH83" s="7">
        <f t="shared" si="42"/>
        <v>6844.2777777777792</v>
      </c>
      <c r="AI83" s="7">
        <f t="shared" si="42"/>
        <v>6844.2777777777792</v>
      </c>
      <c r="AJ83" s="7">
        <f t="shared" si="42"/>
        <v>6844.2777777777792</v>
      </c>
      <c r="AK83" s="7">
        <f t="shared" si="42"/>
        <v>0</v>
      </c>
      <c r="AL83" s="7">
        <f t="shared" si="42"/>
        <v>0</v>
      </c>
      <c r="AM83" s="7">
        <f t="shared" si="42"/>
        <v>0</v>
      </c>
      <c r="AN83" s="7">
        <f t="shared" si="42"/>
        <v>0</v>
      </c>
      <c r="AO83" s="7">
        <f t="shared" si="42"/>
        <v>0</v>
      </c>
    </row>
    <row r="84" spans="1:41" s="122" customFormat="1" x14ac:dyDescent="0.35">
      <c r="A84" s="122" t="s">
        <v>81</v>
      </c>
      <c r="B84" s="122">
        <v>83</v>
      </c>
      <c r="C84" s="123">
        <v>703961</v>
      </c>
      <c r="D84" s="8">
        <v>1.16190004349</v>
      </c>
      <c r="E84" s="121">
        <f t="shared" si="32"/>
        <v>2.32380008698</v>
      </c>
      <c r="F84" s="132">
        <f>F83</f>
        <v>0.1</v>
      </c>
      <c r="G84" s="128">
        <f>D84+F84</f>
        <v>1.2619000434900001</v>
      </c>
      <c r="H84" s="132">
        <f>H83</f>
        <v>0.8</v>
      </c>
      <c r="I84" s="128">
        <f t="shared" si="38"/>
        <v>1.96190004349</v>
      </c>
      <c r="J84" s="3">
        <v>354374</v>
      </c>
      <c r="K84" s="7">
        <f t="shared" si="43"/>
        <v>349587</v>
      </c>
      <c r="L84" s="133">
        <f t="shared" si="39"/>
        <v>0.50340004630938362</v>
      </c>
      <c r="M84" s="5"/>
      <c r="N84" s="6">
        <f>I84-F84</f>
        <v>1.8619000434899999</v>
      </c>
      <c r="O84" s="6">
        <f>ROUND(I84-F84,1)</f>
        <v>1.9</v>
      </c>
      <c r="P84" s="7">
        <f>K84/((O84/0.1)-1)</f>
        <v>19421.500000000004</v>
      </c>
      <c r="Q84" s="131" t="str">
        <f>IF(SUM(S84:AO84)=K84,"","check")</f>
        <v/>
      </c>
      <c r="S84" s="7">
        <f t="shared" si="41"/>
        <v>19421.500000000004</v>
      </c>
      <c r="T84" s="7">
        <f t="shared" si="41"/>
        <v>19421.500000000004</v>
      </c>
      <c r="U84" s="7">
        <f t="shared" si="41"/>
        <v>19421.500000000004</v>
      </c>
      <c r="V84" s="7">
        <f t="shared" si="41"/>
        <v>19421.500000000004</v>
      </c>
      <c r="W84" s="7">
        <f t="shared" si="41"/>
        <v>19421.500000000004</v>
      </c>
      <c r="X84" s="7">
        <f t="shared" si="41"/>
        <v>19421.500000000004</v>
      </c>
      <c r="Y84" s="7">
        <f t="shared" si="41"/>
        <v>19421.500000000004</v>
      </c>
      <c r="Z84" s="7">
        <f t="shared" si="41"/>
        <v>19421.500000000004</v>
      </c>
      <c r="AA84" s="7">
        <f t="shared" si="41"/>
        <v>19421.500000000004</v>
      </c>
      <c r="AB84" s="7">
        <f t="shared" si="41"/>
        <v>19421.500000000004</v>
      </c>
      <c r="AC84" s="7">
        <f t="shared" si="42"/>
        <v>19421.500000000004</v>
      </c>
      <c r="AD84" s="7">
        <f t="shared" si="42"/>
        <v>19421.500000000004</v>
      </c>
      <c r="AE84" s="7">
        <f t="shared" si="42"/>
        <v>19421.500000000004</v>
      </c>
      <c r="AF84" s="7">
        <f t="shared" si="42"/>
        <v>19421.500000000004</v>
      </c>
      <c r="AG84" s="7">
        <f t="shared" si="42"/>
        <v>19421.500000000004</v>
      </c>
      <c r="AH84" s="7">
        <f t="shared" si="42"/>
        <v>19421.500000000004</v>
      </c>
      <c r="AI84" s="7">
        <f t="shared" si="42"/>
        <v>19421.500000000004</v>
      </c>
      <c r="AJ84" s="7">
        <f t="shared" si="42"/>
        <v>19421.500000000004</v>
      </c>
      <c r="AK84" s="7">
        <f t="shared" si="42"/>
        <v>0</v>
      </c>
      <c r="AL84" s="7">
        <f t="shared" si="42"/>
        <v>0</v>
      </c>
      <c r="AM84" s="7">
        <f t="shared" si="42"/>
        <v>0</v>
      </c>
      <c r="AN84" s="7">
        <f t="shared" si="42"/>
        <v>0</v>
      </c>
      <c r="AO84" s="7">
        <f t="shared" si="42"/>
        <v>0</v>
      </c>
    </row>
    <row r="85" spans="1:41" x14ac:dyDescent="0.35">
      <c r="A85" s="122" t="s">
        <v>82</v>
      </c>
      <c r="B85" s="5">
        <v>84</v>
      </c>
      <c r="C85" s="123">
        <v>363764</v>
      </c>
      <c r="D85" s="8">
        <v>1.16190004349</v>
      </c>
      <c r="E85" s="121">
        <f t="shared" si="32"/>
        <v>2.32380008698</v>
      </c>
      <c r="F85" s="132">
        <f>F84</f>
        <v>0.1</v>
      </c>
      <c r="G85" s="128">
        <f>D85+F85</f>
        <v>1.2619000434900001</v>
      </c>
      <c r="H85" s="132">
        <f>H84</f>
        <v>0.8</v>
      </c>
      <c r="I85" s="128">
        <f t="shared" si="38"/>
        <v>1.96190004349</v>
      </c>
      <c r="J85" s="6">
        <v>0</v>
      </c>
      <c r="K85" s="7">
        <f t="shared" si="43"/>
        <v>363764</v>
      </c>
      <c r="L85" s="133">
        <f t="shared" si="39"/>
        <v>0</v>
      </c>
      <c r="N85" s="6">
        <f>I85-F85</f>
        <v>1.8619000434899999</v>
      </c>
      <c r="O85" s="6">
        <f>ROUND(I85-F85,1)</f>
        <v>1.9</v>
      </c>
      <c r="P85" s="7">
        <f>K85/((O85/0.1)-1)</f>
        <v>20209.111111111117</v>
      </c>
      <c r="Q85" s="131" t="str">
        <f>IF(SUM(S85:AO85)=K85,"","check")</f>
        <v/>
      </c>
      <c r="S85" s="7">
        <f t="shared" si="41"/>
        <v>20209.111111111117</v>
      </c>
      <c r="T85" s="7">
        <f t="shared" si="41"/>
        <v>20209.111111111117</v>
      </c>
      <c r="U85" s="7">
        <f t="shared" si="41"/>
        <v>20209.111111111117</v>
      </c>
      <c r="V85" s="7">
        <f t="shared" si="41"/>
        <v>20209.111111111117</v>
      </c>
      <c r="W85" s="7">
        <f t="shared" si="41"/>
        <v>20209.111111111117</v>
      </c>
      <c r="X85" s="7">
        <f t="shared" si="41"/>
        <v>20209.111111111117</v>
      </c>
      <c r="Y85" s="7">
        <f t="shared" si="41"/>
        <v>20209.111111111117</v>
      </c>
      <c r="Z85" s="7">
        <f t="shared" si="41"/>
        <v>20209.111111111117</v>
      </c>
      <c r="AA85" s="7">
        <f t="shared" si="41"/>
        <v>20209.111111111117</v>
      </c>
      <c r="AB85" s="7">
        <f t="shared" si="41"/>
        <v>20209.111111111117</v>
      </c>
      <c r="AC85" s="7">
        <f t="shared" si="42"/>
        <v>20209.111111111117</v>
      </c>
      <c r="AD85" s="7">
        <f t="shared" si="42"/>
        <v>20209.111111111117</v>
      </c>
      <c r="AE85" s="7">
        <f t="shared" si="42"/>
        <v>20209.111111111117</v>
      </c>
      <c r="AF85" s="7">
        <f t="shared" si="42"/>
        <v>20209.111111111117</v>
      </c>
      <c r="AG85" s="7">
        <f t="shared" si="42"/>
        <v>20209.111111111117</v>
      </c>
      <c r="AH85" s="7">
        <f t="shared" si="42"/>
        <v>20209.111111111117</v>
      </c>
      <c r="AI85" s="7">
        <f t="shared" si="42"/>
        <v>20209.111111111117</v>
      </c>
      <c r="AJ85" s="7">
        <f t="shared" si="42"/>
        <v>20209.111111111117</v>
      </c>
      <c r="AK85" s="7">
        <f t="shared" si="42"/>
        <v>0</v>
      </c>
      <c r="AL85" s="7">
        <f t="shared" si="42"/>
        <v>0</v>
      </c>
      <c r="AM85" s="7">
        <f t="shared" si="42"/>
        <v>0</v>
      </c>
      <c r="AN85" s="7">
        <f t="shared" si="42"/>
        <v>0</v>
      </c>
      <c r="AO85" s="7">
        <f t="shared" si="42"/>
        <v>0</v>
      </c>
    </row>
    <row r="86" spans="1:41" x14ac:dyDescent="0.35">
      <c r="D86" s="8"/>
      <c r="E86" s="6"/>
      <c r="F86" s="8"/>
      <c r="G86" s="129"/>
      <c r="J86" s="6"/>
      <c r="S86" s="7"/>
      <c r="T86" s="7"/>
      <c r="U86" s="7"/>
      <c r="V86" s="7"/>
      <c r="W86" s="7"/>
      <c r="X86" s="7"/>
      <c r="Y86" s="7"/>
      <c r="Z86" s="7"/>
      <c r="AA86" s="7"/>
      <c r="AB86" s="7"/>
      <c r="AC86" s="7"/>
      <c r="AD86" s="7"/>
      <c r="AE86" s="7"/>
      <c r="AF86" s="7"/>
      <c r="AG86" s="7"/>
      <c r="AH86" s="7"/>
      <c r="AI86" s="7"/>
      <c r="AJ86" s="7"/>
      <c r="AK86" s="7"/>
      <c r="AL86" s="7"/>
      <c r="AM86" s="7"/>
      <c r="AN86" s="7"/>
      <c r="AO86" s="7"/>
    </row>
    <row r="87" spans="1:41" x14ac:dyDescent="0.35">
      <c r="D87" s="8"/>
      <c r="E87" s="6"/>
      <c r="F87" s="8"/>
      <c r="G87" s="129"/>
      <c r="J87" s="6"/>
    </row>
    <row r="88" spans="1:41" x14ac:dyDescent="0.35">
      <c r="D88" s="8"/>
      <c r="E88" s="6"/>
      <c r="F88" s="8"/>
      <c r="G88" s="129"/>
      <c r="J88" s="6"/>
    </row>
    <row r="89" spans="1:41" x14ac:dyDescent="0.35">
      <c r="D89" s="8"/>
      <c r="E89" s="6"/>
      <c r="F89" s="8"/>
      <c r="G89" s="129"/>
      <c r="J89" s="6"/>
    </row>
    <row r="90" spans="1:41" x14ac:dyDescent="0.35">
      <c r="D90" s="8"/>
      <c r="E90" s="6"/>
      <c r="F90" s="8"/>
      <c r="G90" s="129"/>
      <c r="J90" s="6"/>
    </row>
    <row r="91" spans="1:41" x14ac:dyDescent="0.35">
      <c r="D91" s="8"/>
      <c r="E91" s="6"/>
      <c r="F91" s="8"/>
      <c r="G91" s="129"/>
      <c r="J91" s="6"/>
    </row>
    <row r="92" spans="1:41" x14ac:dyDescent="0.35">
      <c r="D92" s="8"/>
      <c r="E92" s="6"/>
      <c r="F92" s="8"/>
      <c r="G92" s="129"/>
      <c r="J92" s="6"/>
    </row>
    <row r="93" spans="1:41" x14ac:dyDescent="0.35">
      <c r="D93" s="8"/>
      <c r="E93" s="6"/>
      <c r="F93" s="8"/>
      <c r="G93" s="129"/>
      <c r="J93" s="6"/>
    </row>
    <row r="94" spans="1:41" x14ac:dyDescent="0.35">
      <c r="D94" s="8"/>
      <c r="E94" s="6"/>
      <c r="F94" s="8"/>
      <c r="G94" s="129"/>
      <c r="J94" s="6"/>
    </row>
    <row r="95" spans="1:41" x14ac:dyDescent="0.35">
      <c r="D95" s="8"/>
      <c r="E95" s="6"/>
      <c r="F95" s="8"/>
      <c r="G95" s="129"/>
      <c r="J95" s="6"/>
    </row>
    <row r="96" spans="1:41" x14ac:dyDescent="0.35">
      <c r="D96" s="8"/>
      <c r="E96" s="6"/>
      <c r="F96" s="8"/>
      <c r="G96" s="129"/>
      <c r="J96" s="6"/>
    </row>
    <row r="97" spans="4:10" x14ac:dyDescent="0.35">
      <c r="D97" s="8"/>
      <c r="E97" s="6"/>
      <c r="F97" s="8"/>
      <c r="G97" s="129"/>
      <c r="J97" s="6"/>
    </row>
    <row r="98" spans="4:10" x14ac:dyDescent="0.35">
      <c r="D98" s="8"/>
      <c r="E98" s="6"/>
      <c r="F98" s="8"/>
      <c r="G98" s="129"/>
      <c r="J98" s="6"/>
    </row>
    <row r="99" spans="4:10" x14ac:dyDescent="0.35">
      <c r="D99" s="8"/>
      <c r="E99" s="6"/>
      <c r="F99" s="8"/>
      <c r="G99" s="129"/>
      <c r="J99" s="6"/>
    </row>
    <row r="100" spans="4:10" x14ac:dyDescent="0.35">
      <c r="D100" s="8"/>
      <c r="E100" s="6"/>
      <c r="F100" s="8"/>
      <c r="G100" s="129"/>
      <c r="J100" s="6"/>
    </row>
    <row r="101" spans="4:10" x14ac:dyDescent="0.35">
      <c r="D101" s="8"/>
      <c r="E101" s="6"/>
      <c r="F101" s="8"/>
      <c r="G101" s="129"/>
      <c r="J101" s="6"/>
    </row>
    <row r="102" spans="4:10" x14ac:dyDescent="0.35">
      <c r="D102" s="8"/>
      <c r="E102" s="6"/>
      <c r="F102" s="8"/>
      <c r="G102" s="129"/>
      <c r="J102" s="6"/>
    </row>
    <row r="103" spans="4:10" x14ac:dyDescent="0.35">
      <c r="D103" s="8"/>
      <c r="E103" s="6"/>
      <c r="F103" s="8"/>
      <c r="G103" s="129"/>
      <c r="J103" s="6"/>
    </row>
    <row r="104" spans="4:10" x14ac:dyDescent="0.35">
      <c r="D104" s="8"/>
      <c r="E104" s="6"/>
      <c r="F104" s="8"/>
      <c r="G104" s="129"/>
      <c r="J104" s="6"/>
    </row>
    <row r="105" spans="4:10" x14ac:dyDescent="0.35">
      <c r="D105" s="8"/>
      <c r="E105" s="6"/>
      <c r="F105" s="8"/>
      <c r="G105" s="129"/>
      <c r="J105" s="6"/>
    </row>
    <row r="106" spans="4:10" x14ac:dyDescent="0.35">
      <c r="D106" s="8"/>
      <c r="E106" s="6"/>
      <c r="F106" s="8"/>
      <c r="G106" s="129"/>
      <c r="J106" s="6"/>
    </row>
    <row r="107" spans="4:10" x14ac:dyDescent="0.35">
      <c r="D107" s="8"/>
      <c r="E107" s="6"/>
      <c r="F107" s="8"/>
      <c r="G107" s="129"/>
      <c r="J107" s="6"/>
    </row>
    <row r="108" spans="4:10" x14ac:dyDescent="0.35">
      <c r="D108" s="8"/>
      <c r="E108" s="6"/>
      <c r="F108" s="8"/>
      <c r="G108" s="129"/>
      <c r="J108" s="6"/>
    </row>
    <row r="109" spans="4:10" x14ac:dyDescent="0.35">
      <c r="D109" s="8"/>
      <c r="E109" s="6"/>
      <c r="F109" s="8"/>
      <c r="G109" s="129"/>
      <c r="J109" s="6"/>
    </row>
    <row r="110" spans="4:10" x14ac:dyDescent="0.35">
      <c r="D110" s="8"/>
      <c r="E110" s="6"/>
      <c r="F110" s="8"/>
      <c r="G110" s="129"/>
      <c r="J110" s="6"/>
    </row>
    <row r="111" spans="4:10" x14ac:dyDescent="0.35">
      <c r="D111" s="8"/>
      <c r="E111" s="6"/>
      <c r="F111" s="8"/>
      <c r="G111" s="129"/>
      <c r="J111" s="6"/>
    </row>
    <row r="112" spans="4:10" x14ac:dyDescent="0.35">
      <c r="D112" s="8"/>
      <c r="E112" s="6"/>
      <c r="F112" s="8"/>
      <c r="G112" s="129"/>
      <c r="J112" s="6"/>
    </row>
    <row r="113" spans="4:10" x14ac:dyDescent="0.35">
      <c r="D113" s="8"/>
      <c r="E113" s="6"/>
      <c r="F113" s="8"/>
      <c r="G113" s="129"/>
      <c r="J113" s="6"/>
    </row>
    <row r="114" spans="4:10" x14ac:dyDescent="0.35">
      <c r="D114" s="8"/>
      <c r="E114" s="6"/>
      <c r="F114" s="8"/>
      <c r="G114" s="129"/>
      <c r="J114" s="6"/>
    </row>
    <row r="115" spans="4:10" x14ac:dyDescent="0.35">
      <c r="D115" s="8"/>
      <c r="E115" s="6"/>
      <c r="F115" s="8"/>
      <c r="G115" s="129"/>
      <c r="J115" s="6"/>
    </row>
    <row r="116" spans="4:10" x14ac:dyDescent="0.35">
      <c r="D116" s="8"/>
      <c r="E116" s="6"/>
      <c r="F116" s="8"/>
      <c r="G116" s="129"/>
      <c r="J116" s="6"/>
    </row>
  </sheetData>
  <conditionalFormatting sqref="C77:C83 C19:C29 C31:C75 C2:C17 C86:C116">
    <cfRule type="cellIs" dxfId="2" priority="3" operator="lessThan">
      <formula>0</formula>
    </cfRule>
  </conditionalFormatting>
  <conditionalFormatting sqref="C76">
    <cfRule type="cellIs" dxfId="1" priority="2" operator="lessThan">
      <formula>0</formula>
    </cfRule>
  </conditionalFormatting>
  <conditionalFormatting sqref="C84:C85">
    <cfRule type="cellIs" dxfId="0" priority="1" operator="lessThan">
      <formula>0</formula>
    </cfRule>
  </conditionalFormatting>
  <pageMargins left="0.7" right="0.7" top="0.75" bottom="0.75" header="0.3" footer="0.3"/>
  <pageSetup orientation="portrait" horizontalDpi="1200" verticalDpi="12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6"/>
  <sheetViews>
    <sheetView tabSelected="1" workbookViewId="0"/>
  </sheetViews>
  <sheetFormatPr defaultRowHeight="14.5" x14ac:dyDescent="0.35"/>
  <sheetData>
    <row r="1" spans="1:2" x14ac:dyDescent="0.35">
      <c r="A1" t="s">
        <v>771</v>
      </c>
    </row>
    <row r="2" spans="1:2" x14ac:dyDescent="0.35">
      <c r="A2" t="s">
        <v>770</v>
      </c>
    </row>
    <row r="4" spans="1:2" x14ac:dyDescent="0.35">
      <c r="A4" s="491" t="s">
        <v>591</v>
      </c>
    </row>
    <row r="5" spans="1:2" x14ac:dyDescent="0.35">
      <c r="A5">
        <v>1</v>
      </c>
      <c r="B5" t="s">
        <v>584</v>
      </c>
    </row>
    <row r="6" spans="1:2" x14ac:dyDescent="0.35">
      <c r="A6">
        <v>2</v>
      </c>
      <c r="B6" t="s">
        <v>762</v>
      </c>
    </row>
    <row r="7" spans="1:2" s="2" customFormat="1" x14ac:dyDescent="0.35">
      <c r="A7" s="2">
        <v>3</v>
      </c>
      <c r="B7" s="2" t="s">
        <v>769</v>
      </c>
    </row>
    <row r="8" spans="1:2" x14ac:dyDescent="0.35">
      <c r="A8">
        <v>4</v>
      </c>
      <c r="B8" t="s">
        <v>698</v>
      </c>
    </row>
    <row r="9" spans="1:2" s="2" customFormat="1" x14ac:dyDescent="0.35">
      <c r="A9" s="2">
        <v>5</v>
      </c>
      <c r="B9" s="2" t="s">
        <v>758</v>
      </c>
    </row>
    <row r="10" spans="1:2" x14ac:dyDescent="0.35">
      <c r="A10">
        <v>6</v>
      </c>
      <c r="B10" t="s">
        <v>565</v>
      </c>
    </row>
    <row r="11" spans="1:2" x14ac:dyDescent="0.35">
      <c r="A11">
        <v>7</v>
      </c>
      <c r="B11" t="s">
        <v>583</v>
      </c>
    </row>
    <row r="12" spans="1:2" x14ac:dyDescent="0.35">
      <c r="A12">
        <v>8</v>
      </c>
      <c r="B12" s="2" t="s">
        <v>697</v>
      </c>
    </row>
    <row r="13" spans="1:2" x14ac:dyDescent="0.35">
      <c r="A13">
        <v>9</v>
      </c>
      <c r="B13" s="2" t="s">
        <v>585</v>
      </c>
    </row>
    <row r="14" spans="1:2" x14ac:dyDescent="0.35">
      <c r="A14">
        <v>10</v>
      </c>
      <c r="B14" t="s">
        <v>569</v>
      </c>
    </row>
    <row r="15" spans="1:2" x14ac:dyDescent="0.35">
      <c r="A15">
        <v>11</v>
      </c>
      <c r="B15" t="s">
        <v>570</v>
      </c>
    </row>
    <row r="16" spans="1:2" x14ac:dyDescent="0.35">
      <c r="A16">
        <v>12</v>
      </c>
      <c r="B16" t="s">
        <v>586</v>
      </c>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C178"/>
  <sheetViews>
    <sheetView zoomScale="85" zoomScaleNormal="85" zoomScaleSheetLayoutView="100" workbookViewId="0"/>
  </sheetViews>
  <sheetFormatPr defaultColWidth="8.7265625" defaultRowHeight="14.5" x14ac:dyDescent="0.3"/>
  <cols>
    <col min="1" max="1" width="26" style="52" bestFit="1" customWidth="1"/>
    <col min="2" max="2" width="9.1796875" style="52" customWidth="1"/>
    <col min="3" max="3" width="5" style="52" bestFit="1" customWidth="1"/>
    <col min="4" max="4" width="5" style="52" customWidth="1"/>
    <col min="5" max="5" width="23" style="51" customWidth="1"/>
    <col min="6" max="6" width="10" style="55" customWidth="1"/>
    <col min="7" max="7" width="7.26953125" style="53" customWidth="1"/>
    <col min="8" max="8" width="9.54296875" style="56" customWidth="1"/>
    <col min="9" max="9" width="6.90625" style="77" customWidth="1"/>
    <col min="10" max="10" width="6.90625" style="58" customWidth="1"/>
    <col min="11" max="11" width="6.90625" style="77" customWidth="1"/>
    <col min="12" max="12" width="6.90625" style="58" customWidth="1"/>
    <col min="13" max="13" width="6.90625" style="77" customWidth="1"/>
    <col min="14" max="14" width="6.90625" style="58" customWidth="1"/>
    <col min="15" max="15" width="6.90625" style="77" customWidth="1"/>
    <col min="16" max="16" width="6.90625" style="58" customWidth="1"/>
    <col min="17" max="17" width="6.90625" style="77" customWidth="1"/>
    <col min="18" max="18" width="6.90625" style="58" customWidth="1"/>
    <col min="19" max="19" width="6.90625" style="77" customWidth="1"/>
    <col min="20" max="20" width="6.90625" style="58" customWidth="1"/>
    <col min="21" max="21" width="6.90625" style="57" customWidth="1"/>
    <col min="22" max="22" width="6.90625" style="58" customWidth="1"/>
    <col min="23" max="23" width="6.90625" style="77" customWidth="1"/>
    <col min="24" max="24" width="6.90625" style="58" customWidth="1"/>
    <col min="25" max="25" width="6.90625" style="57" customWidth="1"/>
    <col min="26" max="26" width="6.90625" style="58" customWidth="1"/>
    <col min="27" max="27" width="6.90625" style="57" customWidth="1"/>
    <col min="28" max="28" width="6.90625" style="58" customWidth="1"/>
    <col min="29" max="29" width="6.90625" style="57" customWidth="1"/>
    <col min="30" max="30" width="6.90625" style="58" customWidth="1"/>
    <col min="31" max="31" width="6.90625" style="57" customWidth="1"/>
    <col min="32" max="32" width="6.90625" style="58" customWidth="1"/>
    <col min="33" max="33" width="6.90625" style="57" customWidth="1"/>
    <col min="34" max="34" width="6.90625" style="58" customWidth="1"/>
    <col min="35" max="35" width="6.90625" style="61" customWidth="1"/>
    <col min="36" max="36" width="6.90625" style="58" customWidth="1"/>
    <col min="37" max="37" width="6.90625" style="61" customWidth="1"/>
    <col min="38" max="38" width="6.90625" style="58" customWidth="1"/>
    <col min="39" max="39" width="6.90625" style="61" customWidth="1"/>
    <col min="40" max="40" width="6.90625" style="58" customWidth="1"/>
    <col min="41" max="41" width="6.90625" style="61" customWidth="1"/>
    <col min="42" max="42" width="6.90625" style="58" customWidth="1"/>
    <col min="43" max="43" width="6.90625" style="61" customWidth="1"/>
    <col min="44" max="44" width="6.90625" style="58" customWidth="1"/>
    <col min="45" max="45" width="6.90625" style="57" customWidth="1"/>
    <col min="46" max="46" width="6.90625" style="58" customWidth="1"/>
    <col min="47" max="47" width="6.90625" style="57" customWidth="1"/>
    <col min="48" max="48" width="6.90625" style="58" customWidth="1"/>
    <col min="49" max="49" width="6.90625" style="57" customWidth="1"/>
    <col min="50" max="50" width="6.90625" style="58" customWidth="1"/>
    <col min="51" max="51" width="6.90625" style="57" customWidth="1"/>
    <col min="52" max="52" width="6.90625" style="58" customWidth="1"/>
    <col min="53" max="53" width="6.90625" style="57" customWidth="1"/>
    <col min="54" max="54" width="6.90625" style="58" customWidth="1"/>
    <col min="55" max="55" width="6.90625" style="57" customWidth="1"/>
    <col min="56" max="56" width="6.90625" style="58" customWidth="1"/>
    <col min="57" max="57" width="6.90625" style="57" customWidth="1"/>
    <col min="58" max="58" width="6.90625" style="58" customWidth="1"/>
    <col min="59" max="59" width="6.90625" style="57" customWidth="1"/>
    <col min="60" max="60" width="6.90625" style="58" customWidth="1"/>
    <col min="61" max="61" width="6.90625" style="57" customWidth="1"/>
    <col min="62" max="62" width="6.90625" style="58" customWidth="1"/>
    <col min="63" max="63" width="8.54296875" style="62" hidden="1" customWidth="1"/>
    <col min="64" max="64" width="9.26953125" style="81" hidden="1" customWidth="1"/>
    <col min="65" max="65" width="9.26953125" style="69" customWidth="1"/>
    <col min="66" max="66" width="6.26953125" style="69" customWidth="1"/>
    <col min="67" max="69" width="10.453125" style="51" bestFit="1" customWidth="1"/>
    <col min="70" max="70" width="8.7265625" style="51"/>
    <col min="71" max="71" width="28.36328125" style="51" customWidth="1"/>
    <col min="72" max="72" width="46.6328125" style="51" customWidth="1"/>
    <col min="73" max="73" width="9.7265625" style="37" bestFit="1" customWidth="1"/>
    <col min="74" max="74" width="10" style="51" bestFit="1" customWidth="1"/>
    <col min="75" max="75" width="9.08984375" style="51" bestFit="1" customWidth="1"/>
    <col min="76" max="76" width="8.7265625" style="51"/>
    <col min="77" max="77" width="1.26953125" style="109" customWidth="1"/>
    <col min="78" max="78" width="7.81640625" style="115" customWidth="1"/>
    <col min="79" max="79" width="47.7265625" style="116" customWidth="1"/>
    <col min="80" max="81" width="10" style="69" customWidth="1"/>
    <col min="82" max="82" width="1.26953125" style="111" customWidth="1"/>
    <col min="83" max="83" width="12" style="117" bestFit="1" customWidth="1"/>
    <col min="84" max="90" width="9.26953125" style="117" customWidth="1"/>
    <col min="91" max="95" width="8.7265625" style="118"/>
    <col min="96" max="96" width="25.26953125" style="118" customWidth="1"/>
    <col min="97" max="97" width="9.26953125" style="117" customWidth="1"/>
    <col min="98" max="102" width="11.08984375" style="117" customWidth="1"/>
    <col min="103" max="106" width="11.08984375" style="118" customWidth="1"/>
    <col min="107" max="107" width="11.08984375" style="119" customWidth="1"/>
    <col min="108" max="16384" width="8.7265625" style="51"/>
  </cols>
  <sheetData>
    <row r="1" spans="1:107" ht="64.5" customHeight="1" x14ac:dyDescent="0.3">
      <c r="A1" s="489" t="s">
        <v>117</v>
      </c>
      <c r="B1" s="489" t="s">
        <v>118</v>
      </c>
      <c r="C1" s="17" t="s">
        <v>119</v>
      </c>
      <c r="D1" s="17" t="s">
        <v>120</v>
      </c>
      <c r="E1" s="18" t="s">
        <v>669</v>
      </c>
      <c r="F1" s="19" t="s">
        <v>121</v>
      </c>
      <c r="G1" s="20" t="s">
        <v>122</v>
      </c>
      <c r="H1" s="21" t="s">
        <v>123</v>
      </c>
      <c r="I1" s="22" t="s">
        <v>124</v>
      </c>
      <c r="J1" s="23" t="s">
        <v>125</v>
      </c>
      <c r="K1" s="24">
        <v>1994</v>
      </c>
      <c r="L1" s="25" t="s">
        <v>126</v>
      </c>
      <c r="M1" s="22">
        <v>1995</v>
      </c>
      <c r="N1" s="23" t="s">
        <v>127</v>
      </c>
      <c r="O1" s="22">
        <v>1996</v>
      </c>
      <c r="P1" s="23" t="s">
        <v>128</v>
      </c>
      <c r="Q1" s="22">
        <v>1997</v>
      </c>
      <c r="R1" s="23" t="s">
        <v>129</v>
      </c>
      <c r="S1" s="22">
        <v>1998</v>
      </c>
      <c r="T1" s="23" t="s">
        <v>130</v>
      </c>
      <c r="U1" s="26">
        <v>1999</v>
      </c>
      <c r="V1" s="23" t="s">
        <v>131</v>
      </c>
      <c r="W1" s="22">
        <v>2000</v>
      </c>
      <c r="X1" s="23" t="s">
        <v>132</v>
      </c>
      <c r="Y1" s="26">
        <v>2001</v>
      </c>
      <c r="Z1" s="23" t="s">
        <v>133</v>
      </c>
      <c r="AA1" s="26">
        <v>2002</v>
      </c>
      <c r="AB1" s="23" t="s">
        <v>134</v>
      </c>
      <c r="AC1" s="26">
        <v>2003</v>
      </c>
      <c r="AD1" s="23" t="s">
        <v>135</v>
      </c>
      <c r="AE1" s="27">
        <v>2004</v>
      </c>
      <c r="AF1" s="23" t="s">
        <v>136</v>
      </c>
      <c r="AG1" s="26">
        <v>2005</v>
      </c>
      <c r="AH1" s="23" t="s">
        <v>137</v>
      </c>
      <c r="AI1" s="27">
        <v>2006</v>
      </c>
      <c r="AJ1" s="23" t="s">
        <v>138</v>
      </c>
      <c r="AK1" s="27">
        <v>2007</v>
      </c>
      <c r="AL1" s="23" t="s">
        <v>139</v>
      </c>
      <c r="AM1" s="27">
        <v>2008</v>
      </c>
      <c r="AN1" s="23" t="s">
        <v>140</v>
      </c>
      <c r="AO1" s="27">
        <v>2009</v>
      </c>
      <c r="AP1" s="23" t="s">
        <v>141</v>
      </c>
      <c r="AQ1" s="27">
        <v>2010</v>
      </c>
      <c r="AR1" s="23" t="s">
        <v>142</v>
      </c>
      <c r="AS1" s="27">
        <v>2011</v>
      </c>
      <c r="AT1" s="23" t="s">
        <v>143</v>
      </c>
      <c r="AU1" s="27">
        <v>2012</v>
      </c>
      <c r="AV1" s="28" t="s">
        <v>144</v>
      </c>
      <c r="AW1" s="27">
        <v>2013</v>
      </c>
      <c r="AX1" s="28" t="s">
        <v>145</v>
      </c>
      <c r="AY1" s="27">
        <v>2014</v>
      </c>
      <c r="AZ1" s="28" t="s">
        <v>146</v>
      </c>
      <c r="BA1" s="27">
        <v>2015</v>
      </c>
      <c r="BB1" s="28" t="s">
        <v>147</v>
      </c>
      <c r="BC1" s="27">
        <v>2016</v>
      </c>
      <c r="BD1" s="28" t="s">
        <v>148</v>
      </c>
      <c r="BE1" s="27">
        <v>2017</v>
      </c>
      <c r="BF1" s="28" t="s">
        <v>149</v>
      </c>
      <c r="BG1" s="27">
        <v>2018</v>
      </c>
      <c r="BH1" s="28" t="s">
        <v>150</v>
      </c>
      <c r="BI1" s="29">
        <v>2019</v>
      </c>
      <c r="BJ1" s="28" t="s">
        <v>151</v>
      </c>
      <c r="BK1" s="30" t="s">
        <v>152</v>
      </c>
      <c r="BL1" s="31" t="s">
        <v>153</v>
      </c>
      <c r="BM1" s="32" t="s">
        <v>154</v>
      </c>
      <c r="BN1" s="32"/>
      <c r="BO1" s="33" t="s">
        <v>155</v>
      </c>
      <c r="BP1" s="33" t="s">
        <v>156</v>
      </c>
      <c r="BQ1" s="33" t="s">
        <v>157</v>
      </c>
      <c r="BR1" s="34" t="s">
        <v>158</v>
      </c>
      <c r="BS1" s="35" t="s">
        <v>159</v>
      </c>
      <c r="BT1" s="36" t="s">
        <v>160</v>
      </c>
      <c r="BU1" s="37" t="s">
        <v>161</v>
      </c>
      <c r="BV1" s="47" t="s">
        <v>162</v>
      </c>
      <c r="BW1" s="38" t="s">
        <v>163</v>
      </c>
      <c r="BX1" s="38" t="s">
        <v>164</v>
      </c>
      <c r="BY1" s="39"/>
      <c r="BZ1" s="40" t="s">
        <v>165</v>
      </c>
      <c r="CA1" s="41" t="s">
        <v>166</v>
      </c>
      <c r="CB1" s="42" t="s">
        <v>167</v>
      </c>
      <c r="CC1" s="42" t="s">
        <v>168</v>
      </c>
      <c r="CD1" s="43"/>
      <c r="CE1" s="44" t="s">
        <v>169</v>
      </c>
      <c r="CF1" s="45" t="s">
        <v>170</v>
      </c>
      <c r="CG1" s="46" t="s">
        <v>171</v>
      </c>
      <c r="CH1" s="47">
        <v>1</v>
      </c>
      <c r="CI1" s="47">
        <v>2</v>
      </c>
      <c r="CJ1" s="47">
        <v>3</v>
      </c>
      <c r="CK1" s="47">
        <v>4</v>
      </c>
      <c r="CL1" s="47">
        <v>5</v>
      </c>
      <c r="CM1" s="48">
        <v>6</v>
      </c>
      <c r="CN1" s="48">
        <v>7</v>
      </c>
      <c r="CO1" s="48">
        <v>8</v>
      </c>
      <c r="CP1" s="48">
        <v>9</v>
      </c>
      <c r="CQ1" s="48">
        <v>10</v>
      </c>
      <c r="CR1" s="49" t="s">
        <v>172</v>
      </c>
      <c r="CS1" s="46" t="s">
        <v>171</v>
      </c>
      <c r="CT1" s="47">
        <v>1</v>
      </c>
      <c r="CU1" s="47">
        <v>2</v>
      </c>
      <c r="CV1" s="47">
        <v>3</v>
      </c>
      <c r="CW1" s="47">
        <v>4</v>
      </c>
      <c r="CX1" s="47">
        <v>5</v>
      </c>
      <c r="CY1" s="48">
        <v>6</v>
      </c>
      <c r="CZ1" s="48">
        <v>7</v>
      </c>
      <c r="DA1" s="48">
        <v>8</v>
      </c>
      <c r="DB1" s="48">
        <v>9</v>
      </c>
      <c r="DC1" s="50">
        <v>10</v>
      </c>
    </row>
    <row r="2" spans="1:107" x14ac:dyDescent="0.35">
      <c r="A2" s="52">
        <v>110</v>
      </c>
      <c r="B2" s="52">
        <v>1</v>
      </c>
      <c r="C2" s="53"/>
      <c r="D2" s="53"/>
      <c r="E2" s="54" t="s">
        <v>173</v>
      </c>
      <c r="F2" s="55">
        <v>0.15</v>
      </c>
      <c r="I2" s="57"/>
      <c r="K2" s="57"/>
      <c r="M2" s="57"/>
      <c r="O2" s="57"/>
      <c r="Q2" s="57"/>
      <c r="S2" s="57"/>
      <c r="W2" s="57"/>
      <c r="AC2" s="59">
        <v>87.450684931506856</v>
      </c>
      <c r="AD2" s="60">
        <f>PRODUCT(AC2*F2)</f>
        <v>13.117602739726028</v>
      </c>
      <c r="AE2" s="59">
        <v>99.994794520547941</v>
      </c>
      <c r="AF2" s="60">
        <f>PRODUCT(F2,AE2)</f>
        <v>14.999219178082191</v>
      </c>
      <c r="AG2" s="59">
        <v>125.466301369863</v>
      </c>
      <c r="AH2" s="60">
        <f>PRODUCT(F2,AG2)</f>
        <v>18.819945205479449</v>
      </c>
      <c r="AI2" s="59">
        <v>106.84657534246575</v>
      </c>
      <c r="AJ2" s="60">
        <f>PRODUCT(F2,AI2)</f>
        <v>16.026986301369863</v>
      </c>
      <c r="AK2" s="59">
        <v>142.6482191780822</v>
      </c>
      <c r="AL2" s="60">
        <f>PRODUCT(F2*AK2)</f>
        <v>21.39723287671233</v>
      </c>
      <c r="AM2" s="59">
        <v>117.85479452054794</v>
      </c>
      <c r="AN2" s="60">
        <f>F2*AM2</f>
        <v>17.678219178082191</v>
      </c>
      <c r="AO2" s="59">
        <v>116.71835616438355</v>
      </c>
      <c r="AP2" s="60">
        <f>PRODUCT( F2*AO2)</f>
        <v>17.507753424657533</v>
      </c>
      <c r="AQ2" s="59">
        <v>162.61616438356168</v>
      </c>
      <c r="AR2" s="60">
        <f>$F2*AQ2</f>
        <v>24.392424657534253</v>
      </c>
      <c r="AS2" s="59">
        <v>121.33123287671233</v>
      </c>
      <c r="AT2" s="60">
        <f>$F2*AS2</f>
        <v>18.199684931506848</v>
      </c>
      <c r="AU2" s="59">
        <v>151.5446575342466</v>
      </c>
      <c r="AV2" s="60">
        <f>$F2*AU2</f>
        <v>22.731698630136989</v>
      </c>
      <c r="AW2" s="59">
        <v>232.70219178082192</v>
      </c>
      <c r="AX2" s="58">
        <f>$F2*AW2</f>
        <v>34.905328767123287</v>
      </c>
      <c r="AY2" s="61">
        <v>176.4</v>
      </c>
      <c r="AZ2" s="58">
        <f>$F2*AY2</f>
        <v>26.46</v>
      </c>
      <c r="BA2" s="61">
        <v>132.69999999999999</v>
      </c>
      <c r="BB2" s="58">
        <f t="shared" ref="BB2:BD4" si="0">$F2*BA2</f>
        <v>19.904999999999998</v>
      </c>
      <c r="BC2" s="57">
        <v>138</v>
      </c>
      <c r="BD2" s="58">
        <f t="shared" si="0"/>
        <v>20.7</v>
      </c>
      <c r="BE2" s="57">
        <v>135.19999999999999</v>
      </c>
      <c r="BF2" s="58">
        <f>$F2*BE2</f>
        <v>20.279999999999998</v>
      </c>
      <c r="BG2" s="57">
        <v>185.6</v>
      </c>
      <c r="BH2" s="58">
        <f>$F2*BG2</f>
        <v>27.84</v>
      </c>
      <c r="BI2" s="57">
        <v>142.30000000000001</v>
      </c>
      <c r="BJ2" s="58">
        <f>$F2*BI2</f>
        <v>21.345000000000002</v>
      </c>
      <c r="BL2" s="63"/>
      <c r="BM2" s="62"/>
      <c r="BN2" s="62"/>
      <c r="BO2" s="64">
        <v>1</v>
      </c>
      <c r="BP2" s="64">
        <v>1</v>
      </c>
      <c r="BQ2" s="64">
        <v>1.01</v>
      </c>
      <c r="BR2" s="65" t="s">
        <v>174</v>
      </c>
      <c r="BS2" s="54" t="s">
        <v>173</v>
      </c>
      <c r="BT2" s="65" t="s">
        <v>177</v>
      </c>
      <c r="BU2" s="37" t="s">
        <v>175</v>
      </c>
      <c r="BV2" s="66">
        <f>IF(BE2="","",AVERAGE(BE2,BG2,BI2)*0.453592*365)</f>
        <v>25557.112049333333</v>
      </c>
      <c r="BW2" s="66">
        <f t="shared" ref="BW2:BW65" si="1">IF(BE2="","",STDEV(BE2,BG2,BI2)*0.453592*365)</f>
        <v>4516.6426095207398</v>
      </c>
      <c r="BX2" s="66">
        <f t="shared" ref="BX2:BX66" si="2">IF(BW2="","",IF(BW2=0,"",BW2/BV2*100))</f>
        <v>17.672742525846374</v>
      </c>
      <c r="BY2" s="67"/>
      <c r="BZ2" s="68">
        <v>1</v>
      </c>
      <c r="CA2" s="74" t="s">
        <v>1</v>
      </c>
      <c r="CB2" s="69">
        <f>SUM(CH2:CQ2)</f>
        <v>56147.28093066666</v>
      </c>
      <c r="CC2" s="69">
        <f>SQRT(SUM(CT2:DC2))</f>
        <v>8300.3856612048967</v>
      </c>
      <c r="CD2" s="70"/>
      <c r="CE2" s="71"/>
      <c r="CF2" s="71"/>
      <c r="CG2" s="71">
        <v>1</v>
      </c>
      <c r="CH2" s="103">
        <f>IF(LOOKUP($CG2+CH$1/100,$BQ$2:$BQ$76,$BQ$2:$BQ$76)=  $CG2+CH$1/100,             LOOKUP($CG2+CH$1/100,$BQ$2:$BQ$76,$BV$2:$BV$76), "")</f>
        <v>25557.112049333333</v>
      </c>
      <c r="CI2" s="103">
        <f t="shared" ref="CH2:CQ17" si="3">IF(LOOKUP($CG2+CI$1/100,$BQ$2:$BQ$76,$BQ$2:$BQ$76)=  $CG2+CI$1/100,             LOOKUP($CG2+CI$1/100,$BQ$2:$BQ$76,$BV$2:$BV$76), "")</f>
        <v>27168.573227999997</v>
      </c>
      <c r="CJ2" s="71">
        <f t="shared" si="3"/>
        <v>0</v>
      </c>
      <c r="CK2" s="71">
        <f t="shared" si="3"/>
        <v>3421.5956533333333</v>
      </c>
      <c r="CL2" s="71" t="str">
        <f t="shared" si="3"/>
        <v/>
      </c>
      <c r="CM2" s="71" t="str">
        <f t="shared" si="3"/>
        <v/>
      </c>
      <c r="CN2" s="71" t="str">
        <f t="shared" si="3"/>
        <v/>
      </c>
      <c r="CO2" s="71" t="str">
        <f t="shared" si="3"/>
        <v/>
      </c>
      <c r="CP2" s="71" t="str">
        <f t="shared" si="3"/>
        <v/>
      </c>
      <c r="CQ2" s="71" t="str">
        <f t="shared" si="3"/>
        <v/>
      </c>
      <c r="CR2" s="71"/>
      <c r="CS2" s="71">
        <v>1</v>
      </c>
      <c r="CT2" s="71">
        <f t="shared" ref="CT2:DC17" si="4">IF(LOOKUP($CS2+CT$1/100,$BQ$2:$BQ$76,$BQ$2:$BQ$76)=  $CS2+CT$1/100,             LOOKUP($CS2+CT$1/100,$BQ$2:$BQ$76,$BW$2:$BW$76)^2, "")</f>
        <v>20400060.462138318</v>
      </c>
      <c r="CU2" s="71">
        <f t="shared" si="4"/>
        <v>48377562.95401755</v>
      </c>
      <c r="CV2" s="71">
        <f t="shared" si="4"/>
        <v>0</v>
      </c>
      <c r="CW2" s="71">
        <f t="shared" si="4"/>
        <v>118778.70857998775</v>
      </c>
      <c r="CX2" s="71" t="str">
        <f t="shared" si="4"/>
        <v/>
      </c>
      <c r="CY2" s="71" t="str">
        <f t="shared" si="4"/>
        <v/>
      </c>
      <c r="CZ2" s="71" t="str">
        <f t="shared" si="4"/>
        <v/>
      </c>
      <c r="DA2" s="71" t="str">
        <f t="shared" si="4"/>
        <v/>
      </c>
      <c r="DB2" s="71" t="str">
        <f t="shared" si="4"/>
        <v/>
      </c>
      <c r="DC2" s="72" t="str">
        <f t="shared" si="4"/>
        <v/>
      </c>
    </row>
    <row r="3" spans="1:107" x14ac:dyDescent="0.35">
      <c r="A3" s="52">
        <v>111</v>
      </c>
      <c r="B3" s="52">
        <v>2</v>
      </c>
      <c r="C3" s="53"/>
      <c r="D3" s="53"/>
      <c r="E3" s="54" t="s">
        <v>176</v>
      </c>
      <c r="F3" s="55">
        <v>0.15</v>
      </c>
      <c r="I3" s="57"/>
      <c r="K3" s="57"/>
      <c r="M3" s="57"/>
      <c r="O3" s="57"/>
      <c r="Q3" s="57"/>
      <c r="S3" s="57"/>
      <c r="W3" s="57"/>
      <c r="AK3" s="73"/>
      <c r="AQ3" s="59">
        <v>205.56033387424455</v>
      </c>
      <c r="AR3" s="58">
        <f>$F3*AQ3</f>
        <v>30.834050081136681</v>
      </c>
      <c r="AS3" s="59">
        <v>286.72336520624987</v>
      </c>
      <c r="AT3" s="58">
        <f>$F3*AS3</f>
        <v>43.008504780937479</v>
      </c>
      <c r="AU3" s="59">
        <v>220.29159338582545</v>
      </c>
      <c r="AV3" s="60">
        <f>$F3*AU3</f>
        <v>33.043739007873818</v>
      </c>
      <c r="AW3" s="59">
        <v>203.13334475930969</v>
      </c>
      <c r="AX3" s="58">
        <f>$F3*AW3</f>
        <v>30.470001713896451</v>
      </c>
      <c r="AY3" s="57">
        <v>135.80000000000001</v>
      </c>
      <c r="AZ3" s="58">
        <f>$F3*AY3</f>
        <v>20.37</v>
      </c>
      <c r="BA3" s="57">
        <v>160.80000000000001</v>
      </c>
      <c r="BB3" s="58">
        <f t="shared" si="0"/>
        <v>24.12</v>
      </c>
      <c r="BC3" s="57">
        <v>135</v>
      </c>
      <c r="BD3" s="58">
        <f t="shared" si="0"/>
        <v>20.25</v>
      </c>
      <c r="BE3" s="57">
        <v>132.19999999999999</v>
      </c>
      <c r="BF3" s="58">
        <f>$F3*BE3</f>
        <v>19.829999999999998</v>
      </c>
      <c r="BG3" s="57">
        <v>148.4</v>
      </c>
      <c r="BH3" s="58">
        <f>$F3*BG3</f>
        <v>22.26</v>
      </c>
      <c r="BI3" s="57">
        <v>211.7</v>
      </c>
      <c r="BJ3" s="58">
        <f>$F3*BI3</f>
        <v>31.754999999999995</v>
      </c>
      <c r="BL3" s="63"/>
      <c r="BM3" s="62"/>
      <c r="BN3" s="62"/>
      <c r="BO3" s="64">
        <v>1</v>
      </c>
      <c r="BP3" s="64">
        <v>2</v>
      </c>
      <c r="BQ3" s="64">
        <v>1.02</v>
      </c>
      <c r="BR3" s="65" t="s">
        <v>174</v>
      </c>
      <c r="BS3" s="54" t="s">
        <v>176</v>
      </c>
      <c r="BT3" s="65" t="s">
        <v>177</v>
      </c>
      <c r="BU3" s="37" t="s">
        <v>175</v>
      </c>
      <c r="BV3" s="66">
        <f t="shared" ref="BV3:BV65" si="5">IF(BE3="","",AVERAGE(BE3,BG3,BI3)*0.453592*365)</f>
        <v>27168.573227999997</v>
      </c>
      <c r="BW3" s="66">
        <f t="shared" si="1"/>
        <v>6955.3981161409838</v>
      </c>
      <c r="BX3" s="66">
        <f t="shared" si="2"/>
        <v>25.60089577678939</v>
      </c>
      <c r="BY3" s="67"/>
      <c r="BZ3" s="68">
        <v>2</v>
      </c>
      <c r="CA3" s="74" t="s">
        <v>2</v>
      </c>
      <c r="CB3" s="69">
        <f t="shared" ref="CB3:CB66" si="6">SUM(CH3:CQ3)</f>
        <v>0</v>
      </c>
      <c r="CC3" s="69">
        <f t="shared" ref="CC3:CC66" si="7">SQRT(SUM(CT3:DC3))</f>
        <v>0</v>
      </c>
      <c r="CD3" s="70"/>
      <c r="CE3" s="71"/>
      <c r="CF3" s="71"/>
      <c r="CG3" s="71">
        <v>2</v>
      </c>
      <c r="CH3" s="71" t="str">
        <f t="shared" si="3"/>
        <v/>
      </c>
      <c r="CI3" s="71" t="str">
        <f t="shared" si="3"/>
        <v/>
      </c>
      <c r="CJ3" s="71" t="str">
        <f t="shared" si="3"/>
        <v/>
      </c>
      <c r="CK3" s="71" t="str">
        <f t="shared" si="3"/>
        <v/>
      </c>
      <c r="CL3" s="71" t="str">
        <f t="shared" si="3"/>
        <v/>
      </c>
      <c r="CM3" s="71" t="str">
        <f t="shared" si="3"/>
        <v/>
      </c>
      <c r="CN3" s="71" t="str">
        <f t="shared" si="3"/>
        <v/>
      </c>
      <c r="CO3" s="71" t="str">
        <f t="shared" si="3"/>
        <v/>
      </c>
      <c r="CP3" s="71" t="str">
        <f t="shared" si="3"/>
        <v/>
      </c>
      <c r="CQ3" s="71" t="str">
        <f t="shared" si="3"/>
        <v/>
      </c>
      <c r="CR3" s="71"/>
      <c r="CS3" s="71">
        <v>2</v>
      </c>
      <c r="CT3" s="71" t="str">
        <f t="shared" si="4"/>
        <v/>
      </c>
      <c r="CU3" s="71" t="str">
        <f t="shared" si="4"/>
        <v/>
      </c>
      <c r="CV3" s="71" t="str">
        <f t="shared" si="4"/>
        <v/>
      </c>
      <c r="CW3" s="71" t="str">
        <f t="shared" si="4"/>
        <v/>
      </c>
      <c r="CX3" s="71" t="str">
        <f t="shared" si="4"/>
        <v/>
      </c>
      <c r="CY3" s="71" t="str">
        <f t="shared" si="4"/>
        <v/>
      </c>
      <c r="CZ3" s="71" t="str">
        <f t="shared" si="4"/>
        <v/>
      </c>
      <c r="DA3" s="71" t="str">
        <f t="shared" si="4"/>
        <v/>
      </c>
      <c r="DB3" s="71" t="str">
        <f t="shared" si="4"/>
        <v/>
      </c>
      <c r="DC3" s="72" t="str">
        <f t="shared" si="4"/>
        <v/>
      </c>
    </row>
    <row r="4" spans="1:107" x14ac:dyDescent="0.35">
      <c r="A4" s="52">
        <v>112</v>
      </c>
      <c r="B4" s="52">
        <v>3</v>
      </c>
      <c r="C4" s="53"/>
      <c r="D4" s="53"/>
      <c r="E4" s="65" t="s">
        <v>588</v>
      </c>
      <c r="F4" s="55">
        <v>0.15</v>
      </c>
      <c r="I4" s="57"/>
      <c r="K4" s="57"/>
      <c r="M4" s="57"/>
      <c r="O4" s="57"/>
      <c r="Q4" s="57"/>
      <c r="S4" s="57"/>
      <c r="W4" s="57"/>
      <c r="AA4" s="59">
        <f>AVERAGE(AC4:AG4)</f>
        <v>0.61643392485530157</v>
      </c>
      <c r="AB4" s="60"/>
      <c r="AC4" s="59">
        <v>0.75218597491481864</v>
      </c>
      <c r="AD4" s="60"/>
      <c r="AE4" s="59">
        <v>0.62910504346229146</v>
      </c>
      <c r="AF4" s="60"/>
      <c r="AG4" s="59">
        <v>0.46801075618879456</v>
      </c>
      <c r="AH4" s="60"/>
      <c r="AI4" s="59">
        <v>20.30731051305284</v>
      </c>
      <c r="AJ4" s="60"/>
      <c r="AK4" s="59">
        <v>56.411235859414518</v>
      </c>
      <c r="AL4" s="60"/>
      <c r="AM4" s="59">
        <v>13.821533777115045</v>
      </c>
      <c r="AN4" s="60"/>
      <c r="AO4" s="59">
        <v>12.46596053953302</v>
      </c>
      <c r="AP4" s="60"/>
      <c r="AQ4" s="59">
        <v>3.6445391824738844</v>
      </c>
      <c r="AR4" s="60">
        <f>$F4*AQ4</f>
        <v>0.54668087737108262</v>
      </c>
      <c r="AS4" s="59">
        <v>7.0443908583240997</v>
      </c>
      <c r="AT4" s="60">
        <f>$F4*AS4</f>
        <v>1.0566586287486148</v>
      </c>
      <c r="AU4" s="59">
        <v>1.0213394503965523</v>
      </c>
      <c r="AV4" s="60">
        <f>$F4*AU4</f>
        <v>0.15320091755948284</v>
      </c>
      <c r="AW4" s="59">
        <v>0</v>
      </c>
      <c r="AX4" s="58">
        <f>$F4*AW4</f>
        <v>0</v>
      </c>
      <c r="AY4" s="59">
        <v>0</v>
      </c>
      <c r="AZ4" s="58">
        <f>$F4*AY4</f>
        <v>0</v>
      </c>
      <c r="BA4" s="57">
        <v>0</v>
      </c>
      <c r="BB4" s="58">
        <f t="shared" si="0"/>
        <v>0</v>
      </c>
      <c r="BC4" s="57">
        <v>0</v>
      </c>
      <c r="BD4" s="58">
        <f t="shared" si="0"/>
        <v>0</v>
      </c>
      <c r="BE4" s="57">
        <v>0</v>
      </c>
      <c r="BF4" s="58">
        <f>$F4*BE4</f>
        <v>0</v>
      </c>
      <c r="BG4" s="57">
        <v>0</v>
      </c>
      <c r="BH4" s="58">
        <f>$F4*BG4</f>
        <v>0</v>
      </c>
      <c r="BI4" s="57">
        <v>0</v>
      </c>
      <c r="BJ4" s="58">
        <f>$F4*BI4</f>
        <v>0</v>
      </c>
      <c r="BK4" s="62">
        <v>0</v>
      </c>
      <c r="BL4" s="63"/>
      <c r="BM4" s="62"/>
      <c r="BN4" s="62"/>
      <c r="BO4" s="64">
        <v>1</v>
      </c>
      <c r="BP4" s="64">
        <v>3</v>
      </c>
      <c r="BQ4" s="64">
        <v>1.03</v>
      </c>
      <c r="BR4" s="65" t="s">
        <v>174</v>
      </c>
      <c r="BS4" s="65" t="s">
        <v>588</v>
      </c>
      <c r="BT4" s="65" t="s">
        <v>177</v>
      </c>
      <c r="BU4" s="37" t="s">
        <v>175</v>
      </c>
      <c r="BV4" s="66">
        <f t="shared" si="5"/>
        <v>0</v>
      </c>
      <c r="BW4" s="66">
        <f t="shared" si="1"/>
        <v>0</v>
      </c>
      <c r="BX4" s="66" t="str">
        <f t="shared" si="2"/>
        <v/>
      </c>
      <c r="BY4" s="67"/>
      <c r="BZ4" s="68">
        <v>3</v>
      </c>
      <c r="CA4" s="74" t="s">
        <v>3</v>
      </c>
      <c r="CB4" s="69">
        <f t="shared" si="6"/>
        <v>0</v>
      </c>
      <c r="CC4" s="69">
        <f t="shared" si="7"/>
        <v>0</v>
      </c>
      <c r="CD4" s="70"/>
      <c r="CE4" s="71"/>
      <c r="CF4" s="71"/>
      <c r="CG4" s="71">
        <v>3</v>
      </c>
      <c r="CH4" s="71" t="str">
        <f t="shared" si="3"/>
        <v/>
      </c>
      <c r="CI4" s="71" t="str">
        <f t="shared" si="3"/>
        <v/>
      </c>
      <c r="CJ4" s="71" t="str">
        <f t="shared" si="3"/>
        <v/>
      </c>
      <c r="CK4" s="71" t="str">
        <f t="shared" si="3"/>
        <v/>
      </c>
      <c r="CL4" s="71" t="str">
        <f t="shared" si="3"/>
        <v/>
      </c>
      <c r="CM4" s="71" t="str">
        <f t="shared" si="3"/>
        <v/>
      </c>
      <c r="CN4" s="71" t="str">
        <f t="shared" si="3"/>
        <v/>
      </c>
      <c r="CO4" s="71" t="str">
        <f t="shared" si="3"/>
        <v/>
      </c>
      <c r="CP4" s="71" t="str">
        <f t="shared" si="3"/>
        <v/>
      </c>
      <c r="CQ4" s="71" t="str">
        <f t="shared" si="3"/>
        <v/>
      </c>
      <c r="CR4" s="71"/>
      <c r="CS4" s="71">
        <v>3</v>
      </c>
      <c r="CT4" s="71" t="str">
        <f t="shared" si="4"/>
        <v/>
      </c>
      <c r="CU4" s="71" t="str">
        <f t="shared" si="4"/>
        <v/>
      </c>
      <c r="CV4" s="71" t="str">
        <f t="shared" si="4"/>
        <v/>
      </c>
      <c r="CW4" s="71" t="str">
        <f t="shared" si="4"/>
        <v/>
      </c>
      <c r="CX4" s="71" t="str">
        <f t="shared" si="4"/>
        <v/>
      </c>
      <c r="CY4" s="71" t="str">
        <f t="shared" si="4"/>
        <v/>
      </c>
      <c r="CZ4" s="71" t="str">
        <f t="shared" si="4"/>
        <v/>
      </c>
      <c r="DA4" s="71" t="str">
        <f t="shared" si="4"/>
        <v/>
      </c>
      <c r="DB4" s="71" t="str">
        <f t="shared" si="4"/>
        <v/>
      </c>
      <c r="DC4" s="72" t="str">
        <f t="shared" si="4"/>
        <v/>
      </c>
    </row>
    <row r="5" spans="1:107" x14ac:dyDescent="0.35">
      <c r="A5" s="52">
        <v>11</v>
      </c>
      <c r="B5" s="52">
        <v>4</v>
      </c>
      <c r="C5" s="52">
        <v>1</v>
      </c>
      <c r="D5" s="52">
        <v>2</v>
      </c>
      <c r="E5" s="51" t="s">
        <v>178</v>
      </c>
      <c r="F5" s="55">
        <v>0.15</v>
      </c>
      <c r="G5" s="53">
        <v>66</v>
      </c>
      <c r="H5" s="76">
        <f>(F5*G5)</f>
        <v>9.9</v>
      </c>
      <c r="I5" s="77">
        <v>24</v>
      </c>
      <c r="J5" s="58">
        <f>PRODUCT(F5,I5)</f>
        <v>3.5999999999999996</v>
      </c>
      <c r="K5" s="57"/>
      <c r="L5" s="58">
        <f>(K5*F5)</f>
        <v>0</v>
      </c>
      <c r="M5" s="77">
        <v>41</v>
      </c>
      <c r="N5" s="58">
        <f>PRODUCT(F5*M5)</f>
        <v>6.1499999999999995</v>
      </c>
      <c r="O5" s="77">
        <v>41</v>
      </c>
      <c r="P5" s="58">
        <f>PRODUCT(F5*O5)</f>
        <v>6.1499999999999995</v>
      </c>
      <c r="Q5" s="77">
        <v>21</v>
      </c>
      <c r="R5" s="58">
        <f>PRODUCT(F5*Q5)</f>
        <v>3.15</v>
      </c>
      <c r="S5" s="77">
        <v>17</v>
      </c>
      <c r="T5" s="58">
        <f>PRODUCT(F5*S5)</f>
        <v>2.5499999999999998</v>
      </c>
      <c r="U5" s="57">
        <v>10</v>
      </c>
      <c r="V5" s="58">
        <f>PRODUCT(U5*F5)</f>
        <v>1.5</v>
      </c>
      <c r="W5" s="77">
        <v>57</v>
      </c>
      <c r="X5" s="58">
        <f>PRODUCT(W5*F5)</f>
        <v>8.5499999999999989</v>
      </c>
      <c r="Y5" s="57">
        <v>57</v>
      </c>
      <c r="Z5" s="58">
        <f>PRODUCT(Y5*F5)</f>
        <v>8.5499999999999989</v>
      </c>
      <c r="AA5" s="57">
        <v>41</v>
      </c>
      <c r="AB5" s="58">
        <f>PRODUCT(AA5*F5)</f>
        <v>6.1499999999999995</v>
      </c>
      <c r="AC5" s="57">
        <v>34</v>
      </c>
      <c r="AD5" s="58">
        <f>PRODUCT(AC5*F5)</f>
        <v>5.0999999999999996</v>
      </c>
      <c r="AE5" s="57">
        <v>46</v>
      </c>
      <c r="AF5" s="58">
        <f>PRODUCT(F5,AE5)</f>
        <v>6.8999999999999995</v>
      </c>
      <c r="AG5" s="57">
        <v>30</v>
      </c>
      <c r="AH5" s="58">
        <f>PRODUCT(F5,AG5)</f>
        <v>4.5</v>
      </c>
      <c r="AI5" s="61">
        <v>24</v>
      </c>
      <c r="AJ5" s="58">
        <f>PRODUCT(F5,AI5)</f>
        <v>3.5999999999999996</v>
      </c>
      <c r="AK5" s="61">
        <v>18</v>
      </c>
      <c r="AL5" s="58">
        <f>PRODUCT(F5,AK5)</f>
        <v>2.6999999999999997</v>
      </c>
      <c r="AM5" s="61">
        <v>19</v>
      </c>
      <c r="AN5" s="58">
        <f>PRODUCT(F5,AM5)</f>
        <v>2.85</v>
      </c>
      <c r="AO5" s="61">
        <v>25</v>
      </c>
      <c r="AP5" s="58">
        <f>PRODUCT( F5*AO5)</f>
        <v>3.75</v>
      </c>
      <c r="AQ5" s="61">
        <v>33</v>
      </c>
      <c r="AR5" s="58">
        <f>PRODUCT( F5*AQ5)</f>
        <v>4.95</v>
      </c>
      <c r="AS5" s="57">
        <v>32</v>
      </c>
      <c r="AT5" s="58">
        <f>PRODUCT( F5*AS5)</f>
        <v>4.8</v>
      </c>
      <c r="AU5" s="57">
        <v>23</v>
      </c>
      <c r="AV5" s="58">
        <f>PRODUCT( F5*AU5)</f>
        <v>3.4499999999999997</v>
      </c>
      <c r="AW5" s="57">
        <v>18</v>
      </c>
      <c r="AX5" s="58">
        <f>PRODUCT(F5*AW5)</f>
        <v>2.6999999999999997</v>
      </c>
      <c r="AY5" s="57">
        <v>16</v>
      </c>
      <c r="AZ5" s="58">
        <f>PRODUCT(F5*AY5)</f>
        <v>2.4</v>
      </c>
      <c r="BA5" s="57">
        <v>11</v>
      </c>
      <c r="BB5" s="58">
        <f>PRODUCT(F5*BA5)</f>
        <v>1.65</v>
      </c>
      <c r="BC5" s="57">
        <v>16</v>
      </c>
      <c r="BD5" s="58">
        <f>PRODUCT(F5*BC5)</f>
        <v>2.4</v>
      </c>
      <c r="BE5" s="61">
        <v>19</v>
      </c>
      <c r="BF5" s="58">
        <f>PRODUCT(F5*BE5)</f>
        <v>2.85</v>
      </c>
      <c r="BG5" s="61">
        <v>20</v>
      </c>
      <c r="BH5" s="58">
        <f>PRODUCT(F5*BG5)</f>
        <v>3</v>
      </c>
      <c r="BI5" s="57">
        <v>23</v>
      </c>
      <c r="BJ5" s="58">
        <f>PRODUCT(F5*BI5)</f>
        <v>3.4499999999999997</v>
      </c>
      <c r="BK5" s="62">
        <f t="shared" ref="BK5:BL7" si="8">I5</f>
        <v>24</v>
      </c>
      <c r="BL5" s="63">
        <f t="shared" si="8"/>
        <v>3.5999999999999996</v>
      </c>
      <c r="BO5" s="78">
        <v>1</v>
      </c>
      <c r="BP5" s="78">
        <v>4</v>
      </c>
      <c r="BQ5" s="78">
        <v>1.04</v>
      </c>
      <c r="BR5" s="34" t="s">
        <v>179</v>
      </c>
      <c r="BS5" s="65" t="s">
        <v>178</v>
      </c>
      <c r="BT5" s="65" t="s">
        <v>177</v>
      </c>
      <c r="BU5" s="37" t="s">
        <v>175</v>
      </c>
      <c r="BV5" s="66">
        <f t="shared" si="5"/>
        <v>3421.5956533333333</v>
      </c>
      <c r="BW5" s="66">
        <f t="shared" si="1"/>
        <v>344.6428710708924</v>
      </c>
      <c r="BX5" s="66">
        <f t="shared" si="2"/>
        <v>10.072577416771612</v>
      </c>
      <c r="BY5" s="67"/>
      <c r="BZ5" s="68">
        <v>4</v>
      </c>
      <c r="CA5" s="74" t="s">
        <v>4</v>
      </c>
      <c r="CB5" s="69">
        <f t="shared" si="6"/>
        <v>0</v>
      </c>
      <c r="CC5" s="69">
        <f t="shared" si="7"/>
        <v>0</v>
      </c>
      <c r="CD5" s="70"/>
      <c r="CE5" s="71"/>
      <c r="CF5" s="71"/>
      <c r="CG5" s="71">
        <v>4</v>
      </c>
      <c r="CH5" s="71" t="str">
        <f t="shared" si="3"/>
        <v/>
      </c>
      <c r="CI5" s="71" t="str">
        <f t="shared" si="3"/>
        <v/>
      </c>
      <c r="CJ5" s="71" t="str">
        <f t="shared" si="3"/>
        <v/>
      </c>
      <c r="CK5" s="71" t="str">
        <f t="shared" si="3"/>
        <v/>
      </c>
      <c r="CL5" s="71" t="str">
        <f t="shared" si="3"/>
        <v/>
      </c>
      <c r="CM5" s="71" t="str">
        <f t="shared" si="3"/>
        <v/>
      </c>
      <c r="CN5" s="71" t="str">
        <f t="shared" si="3"/>
        <v/>
      </c>
      <c r="CO5" s="71" t="str">
        <f t="shared" si="3"/>
        <v/>
      </c>
      <c r="CP5" s="71" t="str">
        <f t="shared" si="3"/>
        <v/>
      </c>
      <c r="CQ5" s="71" t="str">
        <f t="shared" si="3"/>
        <v/>
      </c>
      <c r="CR5" s="71"/>
      <c r="CS5" s="71">
        <v>4</v>
      </c>
      <c r="CT5" s="71" t="str">
        <f t="shared" si="4"/>
        <v/>
      </c>
      <c r="CU5" s="71" t="str">
        <f t="shared" si="4"/>
        <v/>
      </c>
      <c r="CV5" s="71" t="str">
        <f t="shared" si="4"/>
        <v/>
      </c>
      <c r="CW5" s="71" t="str">
        <f t="shared" si="4"/>
        <v/>
      </c>
      <c r="CX5" s="71" t="str">
        <f t="shared" si="4"/>
        <v/>
      </c>
      <c r="CY5" s="71" t="str">
        <f t="shared" si="4"/>
        <v/>
      </c>
      <c r="CZ5" s="71" t="str">
        <f t="shared" si="4"/>
        <v/>
      </c>
      <c r="DA5" s="71" t="str">
        <f t="shared" si="4"/>
        <v/>
      </c>
      <c r="DB5" s="71" t="str">
        <f t="shared" si="4"/>
        <v/>
      </c>
      <c r="DC5" s="72" t="str">
        <f t="shared" si="4"/>
        <v/>
      </c>
    </row>
    <row r="6" spans="1:107" x14ac:dyDescent="0.35">
      <c r="A6" s="52">
        <v>7</v>
      </c>
      <c r="B6" s="52">
        <v>5</v>
      </c>
      <c r="C6" s="52">
        <v>1</v>
      </c>
      <c r="D6" s="52">
        <v>1</v>
      </c>
      <c r="E6" s="51" t="s">
        <v>180</v>
      </c>
      <c r="F6" s="55">
        <v>0.17</v>
      </c>
      <c r="G6" s="53">
        <v>37</v>
      </c>
      <c r="H6" s="76">
        <f>(F6*G6)</f>
        <v>6.29</v>
      </c>
      <c r="I6" s="77">
        <v>14</v>
      </c>
      <c r="J6" s="58">
        <f>PRODUCT(F6,I6)</f>
        <v>2.3800000000000003</v>
      </c>
      <c r="K6" s="57"/>
      <c r="L6" s="58">
        <f>(K6*F6)</f>
        <v>0</v>
      </c>
      <c r="M6" s="77">
        <v>24</v>
      </c>
      <c r="N6" s="58">
        <f>PRODUCT(F6*M6)</f>
        <v>4.08</v>
      </c>
      <c r="O6" s="77">
        <v>24</v>
      </c>
      <c r="P6" s="58">
        <f>PRODUCT(F6*O6)</f>
        <v>4.08</v>
      </c>
      <c r="Q6" s="77">
        <v>111</v>
      </c>
      <c r="R6" s="58">
        <f>PRODUCT(F6*Q6)</f>
        <v>18.87</v>
      </c>
      <c r="S6" s="77">
        <v>8</v>
      </c>
      <c r="T6" s="58">
        <f>PRODUCT(F6*S6)</f>
        <v>1.36</v>
      </c>
      <c r="U6" s="57">
        <v>8</v>
      </c>
      <c r="V6" s="58">
        <f>PRODUCT(U6*F6)</f>
        <v>1.36</v>
      </c>
      <c r="W6" s="77">
        <v>61</v>
      </c>
      <c r="X6" s="58">
        <f>PRODUCT(W6*F6)</f>
        <v>10.370000000000001</v>
      </c>
      <c r="Y6" s="57">
        <v>99</v>
      </c>
      <c r="Z6" s="58">
        <f>PRODUCT(Y6*F6)</f>
        <v>16.830000000000002</v>
      </c>
      <c r="AA6" s="57">
        <v>56</v>
      </c>
      <c r="AB6" s="58">
        <f>PRODUCT(AA6*F6)</f>
        <v>9.5200000000000014</v>
      </c>
      <c r="AC6" s="57">
        <v>54</v>
      </c>
      <c r="AD6" s="58">
        <f>PRODUCT(AC6*F6)</f>
        <v>9.1800000000000015</v>
      </c>
      <c r="AE6" s="57">
        <v>42</v>
      </c>
      <c r="AF6" s="58">
        <f>PRODUCT(F6,AE6)</f>
        <v>7.1400000000000006</v>
      </c>
      <c r="AG6" s="57">
        <v>47</v>
      </c>
      <c r="AH6" s="58">
        <f>PRODUCT(F6,AG6)</f>
        <v>7.99</v>
      </c>
      <c r="AI6" s="61">
        <v>37</v>
      </c>
      <c r="AJ6" s="58">
        <f>PRODUCT(F6,AI6)</f>
        <v>6.29</v>
      </c>
      <c r="AK6" s="61">
        <v>22</v>
      </c>
      <c r="AL6" s="58">
        <f>PRODUCT(F6,AK6)</f>
        <v>3.74</v>
      </c>
      <c r="AM6" s="61">
        <v>19</v>
      </c>
      <c r="AN6" s="58">
        <f>PRODUCT(F6,AM6)</f>
        <v>3.2300000000000004</v>
      </c>
      <c r="AO6" s="61">
        <v>13</v>
      </c>
      <c r="AP6" s="58">
        <f>PRODUCT( F6*AO6)</f>
        <v>2.21</v>
      </c>
      <c r="AQ6" s="61">
        <v>11</v>
      </c>
      <c r="AR6" s="58">
        <f>PRODUCT( F6*AQ6)</f>
        <v>1.87</v>
      </c>
      <c r="AS6" s="57">
        <v>8</v>
      </c>
      <c r="AT6" s="58">
        <f>PRODUCT( F6*AS6)</f>
        <v>1.36</v>
      </c>
      <c r="AU6" s="57">
        <v>7</v>
      </c>
      <c r="AV6" s="58">
        <f>PRODUCT( F6*AU6)</f>
        <v>1.1900000000000002</v>
      </c>
      <c r="AW6" s="57">
        <v>11</v>
      </c>
      <c r="AX6" s="58">
        <f>PRODUCT(F6*AW6)</f>
        <v>1.87</v>
      </c>
      <c r="AY6" s="57">
        <v>14</v>
      </c>
      <c r="AZ6" s="58">
        <f>PRODUCT(F6*AY6)</f>
        <v>2.3800000000000003</v>
      </c>
      <c r="BA6" s="57">
        <v>4</v>
      </c>
      <c r="BB6" s="58">
        <f>PRODUCT(F6*BA6)</f>
        <v>0.68</v>
      </c>
      <c r="BC6" s="57">
        <v>5</v>
      </c>
      <c r="BD6" s="58">
        <f>PRODUCT(F6*BC6)</f>
        <v>0.85000000000000009</v>
      </c>
      <c r="BE6" s="61">
        <v>7</v>
      </c>
      <c r="BF6" s="58">
        <f>PRODUCT(F6*BE6)</f>
        <v>1.1900000000000002</v>
      </c>
      <c r="BG6" s="61">
        <v>8</v>
      </c>
      <c r="BH6" s="58">
        <f>PRODUCT(F6*BG6)</f>
        <v>1.36</v>
      </c>
      <c r="BI6" s="57">
        <v>6</v>
      </c>
      <c r="BJ6" s="58">
        <f>PRODUCT(F6*BI6)</f>
        <v>1.02</v>
      </c>
      <c r="BK6" s="62">
        <f t="shared" si="8"/>
        <v>14</v>
      </c>
      <c r="BL6" s="63">
        <f t="shared" si="8"/>
        <v>2.3800000000000003</v>
      </c>
      <c r="BO6" s="34">
        <v>5</v>
      </c>
      <c r="BP6" s="34">
        <v>1</v>
      </c>
      <c r="BQ6" s="34">
        <v>5.01</v>
      </c>
      <c r="BR6" s="34" t="s">
        <v>179</v>
      </c>
      <c r="BS6" s="65" t="s">
        <v>180</v>
      </c>
      <c r="BT6" s="65" t="s">
        <v>181</v>
      </c>
      <c r="BU6" s="37" t="s">
        <v>175</v>
      </c>
      <c r="BV6" s="66">
        <f t="shared" si="5"/>
        <v>1158.9275600000001</v>
      </c>
      <c r="BW6" s="66">
        <f t="shared" si="1"/>
        <v>165.56108</v>
      </c>
      <c r="BX6" s="66">
        <f t="shared" si="2"/>
        <v>14.285714285714285</v>
      </c>
      <c r="BY6" s="67"/>
      <c r="BZ6" s="68">
        <v>5</v>
      </c>
      <c r="CA6" s="74" t="s">
        <v>5</v>
      </c>
      <c r="CB6" s="69">
        <f t="shared" si="6"/>
        <v>1158.9275600000001</v>
      </c>
      <c r="CC6" s="69">
        <f t="shared" si="7"/>
        <v>165.56108</v>
      </c>
      <c r="CD6" s="70"/>
      <c r="CE6" s="71"/>
      <c r="CF6" s="71"/>
      <c r="CG6" s="71">
        <v>5</v>
      </c>
      <c r="CH6" s="71">
        <f t="shared" si="3"/>
        <v>1158.9275600000001</v>
      </c>
      <c r="CI6" s="71" t="str">
        <f t="shared" si="3"/>
        <v/>
      </c>
      <c r="CJ6" s="71" t="str">
        <f t="shared" si="3"/>
        <v/>
      </c>
      <c r="CK6" s="71" t="str">
        <f t="shared" si="3"/>
        <v/>
      </c>
      <c r="CL6" s="71" t="str">
        <f t="shared" si="3"/>
        <v/>
      </c>
      <c r="CM6" s="71" t="str">
        <f t="shared" si="3"/>
        <v/>
      </c>
      <c r="CN6" s="71" t="str">
        <f t="shared" si="3"/>
        <v/>
      </c>
      <c r="CO6" s="71" t="str">
        <f t="shared" si="3"/>
        <v/>
      </c>
      <c r="CP6" s="71" t="str">
        <f t="shared" si="3"/>
        <v/>
      </c>
      <c r="CQ6" s="71" t="str">
        <f t="shared" si="3"/>
        <v/>
      </c>
      <c r="CR6" s="71"/>
      <c r="CS6" s="71">
        <v>5</v>
      </c>
      <c r="CT6" s="71">
        <f t="shared" si="4"/>
        <v>27410.471210766402</v>
      </c>
      <c r="CU6" s="71" t="str">
        <f t="shared" si="4"/>
        <v/>
      </c>
      <c r="CV6" s="71" t="str">
        <f t="shared" si="4"/>
        <v/>
      </c>
      <c r="CW6" s="71" t="str">
        <f t="shared" si="4"/>
        <v/>
      </c>
      <c r="CX6" s="71" t="str">
        <f t="shared" si="4"/>
        <v/>
      </c>
      <c r="CY6" s="71" t="str">
        <f t="shared" si="4"/>
        <v/>
      </c>
      <c r="CZ6" s="71" t="str">
        <f t="shared" si="4"/>
        <v/>
      </c>
      <c r="DA6" s="71" t="str">
        <f t="shared" si="4"/>
        <v/>
      </c>
      <c r="DB6" s="71" t="str">
        <f t="shared" si="4"/>
        <v/>
      </c>
      <c r="DC6" s="72" t="str">
        <f t="shared" si="4"/>
        <v/>
      </c>
    </row>
    <row r="7" spans="1:107" x14ac:dyDescent="0.35">
      <c r="A7" s="52">
        <v>8</v>
      </c>
      <c r="B7" s="52">
        <v>6</v>
      </c>
      <c r="C7" s="52">
        <v>1</v>
      </c>
      <c r="D7" s="52">
        <v>1</v>
      </c>
      <c r="E7" s="51" t="s">
        <v>182</v>
      </c>
      <c r="F7" s="55">
        <v>0.17</v>
      </c>
      <c r="G7" s="53">
        <v>74</v>
      </c>
      <c r="H7" s="76">
        <f>(F7*G7)</f>
        <v>12.58</v>
      </c>
      <c r="I7" s="77">
        <v>27</v>
      </c>
      <c r="J7" s="58">
        <f>PRODUCT(F7,I7)</f>
        <v>4.5900000000000007</v>
      </c>
      <c r="K7" s="57"/>
      <c r="L7" s="58">
        <f>(K7*F7)</f>
        <v>0</v>
      </c>
      <c r="M7" s="77">
        <v>63</v>
      </c>
      <c r="N7" s="58">
        <f>PRODUCT(F7*M7)</f>
        <v>10.71</v>
      </c>
      <c r="O7" s="77">
        <v>63</v>
      </c>
      <c r="P7" s="58">
        <f>PRODUCT(F7*O7)</f>
        <v>10.71</v>
      </c>
      <c r="Q7" s="77">
        <v>133</v>
      </c>
      <c r="R7" s="58">
        <f>PRODUCT(F7*Q7)</f>
        <v>22.610000000000003</v>
      </c>
      <c r="S7" s="77">
        <v>63</v>
      </c>
      <c r="T7" s="58">
        <f>PRODUCT(F7*S7)</f>
        <v>10.71</v>
      </c>
      <c r="U7" s="57">
        <v>74</v>
      </c>
      <c r="V7" s="58">
        <f>PRODUCT(U7*F7)</f>
        <v>12.58</v>
      </c>
      <c r="W7" s="77">
        <v>74</v>
      </c>
      <c r="X7" s="58">
        <f>PRODUCT(W7*F7)</f>
        <v>12.58</v>
      </c>
      <c r="Y7" s="57">
        <v>52</v>
      </c>
      <c r="Z7" s="58">
        <f>PRODUCT(Y7*F7)</f>
        <v>8.84</v>
      </c>
      <c r="AA7" s="57">
        <v>37</v>
      </c>
      <c r="AB7" s="58">
        <f>PRODUCT(AA7*F7)</f>
        <v>6.29</v>
      </c>
      <c r="AC7" s="57">
        <v>43</v>
      </c>
      <c r="AD7" s="58">
        <f>PRODUCT(AC7*F7)</f>
        <v>7.3100000000000005</v>
      </c>
      <c r="AE7" s="57">
        <v>49</v>
      </c>
      <c r="AF7" s="58">
        <f>PRODUCT(F7,AE7)</f>
        <v>8.33</v>
      </c>
      <c r="AG7" s="57">
        <v>48</v>
      </c>
      <c r="AH7" s="58">
        <f>PRODUCT(F7,AG7)</f>
        <v>8.16</v>
      </c>
      <c r="AI7" s="61">
        <v>50</v>
      </c>
      <c r="AJ7" s="58">
        <f>PRODUCT(F7,AI7)</f>
        <v>8.5</v>
      </c>
      <c r="AK7" s="61">
        <v>31</v>
      </c>
      <c r="AL7" s="58">
        <f>PRODUCT(F7,AK7)</f>
        <v>5.2700000000000005</v>
      </c>
      <c r="AM7" s="61">
        <v>30</v>
      </c>
      <c r="AN7" s="58">
        <f>PRODUCT(F7,AM7)</f>
        <v>5.1000000000000005</v>
      </c>
      <c r="AO7" s="61">
        <v>25</v>
      </c>
      <c r="AP7" s="58">
        <f>PRODUCT( F7*AO7)</f>
        <v>4.25</v>
      </c>
      <c r="AQ7" s="61">
        <v>32</v>
      </c>
      <c r="AR7" s="58">
        <f>PRODUCT( F7*AQ7)</f>
        <v>5.44</v>
      </c>
      <c r="AS7" s="57">
        <v>28</v>
      </c>
      <c r="AT7" s="58">
        <f>PRODUCT( F7*AS7)</f>
        <v>4.7600000000000007</v>
      </c>
      <c r="AU7" s="57">
        <v>30</v>
      </c>
      <c r="AV7" s="58">
        <f>PRODUCT( F7*AU7)</f>
        <v>5.1000000000000005</v>
      </c>
      <c r="AW7" s="57">
        <v>41</v>
      </c>
      <c r="AX7" s="58">
        <f>PRODUCT(F7*AW7)</f>
        <v>6.9700000000000006</v>
      </c>
      <c r="AY7" s="57">
        <v>30</v>
      </c>
      <c r="AZ7" s="58">
        <f>PRODUCT(F7*AY7)</f>
        <v>5.1000000000000005</v>
      </c>
      <c r="BA7" s="57">
        <v>15</v>
      </c>
      <c r="BB7" s="58">
        <f>PRODUCT(F7*BA7)</f>
        <v>2.5500000000000003</v>
      </c>
      <c r="BC7" s="57">
        <v>20</v>
      </c>
      <c r="BD7" s="58">
        <f>PRODUCT(F7*BC7)</f>
        <v>3.4000000000000004</v>
      </c>
      <c r="BE7" s="61">
        <v>41</v>
      </c>
      <c r="BF7" s="58">
        <f>PRODUCT(F7*BE7)</f>
        <v>6.9700000000000006</v>
      </c>
      <c r="BG7" s="61">
        <v>60</v>
      </c>
      <c r="BH7" s="58">
        <f>PRODUCT(F7*BG7)</f>
        <v>10.200000000000001</v>
      </c>
      <c r="BI7" s="57">
        <v>26</v>
      </c>
      <c r="BJ7" s="58">
        <f>PRODUCT(F7*BI7)</f>
        <v>4.42</v>
      </c>
      <c r="BK7" s="62">
        <f t="shared" si="8"/>
        <v>27</v>
      </c>
      <c r="BL7" s="63">
        <f t="shared" si="8"/>
        <v>4.5900000000000007</v>
      </c>
      <c r="BO7" s="34">
        <v>9</v>
      </c>
      <c r="BP7" s="34">
        <v>1</v>
      </c>
      <c r="BQ7" s="34">
        <v>9.01</v>
      </c>
      <c r="BR7" s="34" t="s">
        <v>179</v>
      </c>
      <c r="BS7" s="65" t="s">
        <v>182</v>
      </c>
      <c r="BT7" s="65" t="s">
        <v>183</v>
      </c>
      <c r="BU7" s="37" t="s">
        <v>175</v>
      </c>
      <c r="BV7" s="66">
        <f t="shared" si="5"/>
        <v>7008.7523866666661</v>
      </c>
      <c r="BW7" s="66">
        <f t="shared" si="1"/>
        <v>2821.0234800262087</v>
      </c>
      <c r="BX7" s="66">
        <f>IF(BW7="","",IF(BW7=0,"",BW7/BV7*100))</f>
        <v>40.250009194116728</v>
      </c>
      <c r="BY7" s="67"/>
      <c r="BZ7" s="68">
        <v>6</v>
      </c>
      <c r="CA7" s="74" t="s">
        <v>6</v>
      </c>
      <c r="CB7" s="69">
        <f t="shared" si="6"/>
        <v>0</v>
      </c>
      <c r="CC7" s="69">
        <f t="shared" si="7"/>
        <v>0</v>
      </c>
      <c r="CD7" s="70"/>
      <c r="CE7" s="71"/>
      <c r="CF7" s="71"/>
      <c r="CG7" s="71">
        <v>6</v>
      </c>
      <c r="CH7" s="71" t="str">
        <f t="shared" si="3"/>
        <v/>
      </c>
      <c r="CI7" s="71" t="str">
        <f t="shared" si="3"/>
        <v/>
      </c>
      <c r="CJ7" s="71" t="str">
        <f t="shared" si="3"/>
        <v/>
      </c>
      <c r="CK7" s="71" t="str">
        <f t="shared" si="3"/>
        <v/>
      </c>
      <c r="CL7" s="71" t="str">
        <f t="shared" si="3"/>
        <v/>
      </c>
      <c r="CM7" s="71" t="str">
        <f t="shared" si="3"/>
        <v/>
      </c>
      <c r="CN7" s="71" t="str">
        <f t="shared" si="3"/>
        <v/>
      </c>
      <c r="CO7" s="71" t="str">
        <f t="shared" si="3"/>
        <v/>
      </c>
      <c r="CP7" s="71" t="str">
        <f t="shared" si="3"/>
        <v/>
      </c>
      <c r="CQ7" s="71" t="str">
        <f t="shared" si="3"/>
        <v/>
      </c>
      <c r="CR7" s="71"/>
      <c r="CS7" s="71">
        <v>6</v>
      </c>
      <c r="CT7" s="71" t="str">
        <f t="shared" si="4"/>
        <v/>
      </c>
      <c r="CU7" s="71" t="str">
        <f t="shared" si="4"/>
        <v/>
      </c>
      <c r="CV7" s="71" t="str">
        <f t="shared" si="4"/>
        <v/>
      </c>
      <c r="CW7" s="71" t="str">
        <f t="shared" si="4"/>
        <v/>
      </c>
      <c r="CX7" s="71" t="str">
        <f t="shared" si="4"/>
        <v/>
      </c>
      <c r="CY7" s="71" t="str">
        <f t="shared" si="4"/>
        <v/>
      </c>
      <c r="CZ7" s="71" t="str">
        <f t="shared" si="4"/>
        <v/>
      </c>
      <c r="DA7" s="71" t="str">
        <f t="shared" si="4"/>
        <v/>
      </c>
      <c r="DB7" s="71" t="str">
        <f t="shared" si="4"/>
        <v/>
      </c>
      <c r="DC7" s="72" t="str">
        <f t="shared" si="4"/>
        <v/>
      </c>
    </row>
    <row r="8" spans="1:107" x14ac:dyDescent="0.35">
      <c r="A8" s="52">
        <v>113</v>
      </c>
      <c r="B8" s="52">
        <v>7</v>
      </c>
      <c r="E8" s="65" t="s">
        <v>184</v>
      </c>
      <c r="F8" s="55">
        <v>0.17</v>
      </c>
      <c r="H8" s="79"/>
      <c r="I8" s="37"/>
      <c r="J8" s="75"/>
      <c r="K8" s="37"/>
      <c r="L8" s="75"/>
      <c r="M8" s="37"/>
      <c r="N8" s="75"/>
      <c r="O8" s="37"/>
      <c r="P8" s="75"/>
      <c r="Q8" s="37"/>
      <c r="R8" s="75"/>
      <c r="S8" s="37"/>
      <c r="T8" s="75"/>
      <c r="U8" s="61"/>
      <c r="V8" s="75"/>
      <c r="W8" s="37"/>
      <c r="X8" s="75"/>
      <c r="Y8" s="61"/>
      <c r="Z8" s="75"/>
      <c r="AA8" s="61"/>
      <c r="AB8" s="75"/>
      <c r="AC8" s="61"/>
      <c r="AD8" s="75"/>
      <c r="AE8" s="61"/>
      <c r="AF8" s="75"/>
      <c r="AG8" s="61"/>
      <c r="AH8" s="75"/>
      <c r="AJ8" s="75"/>
      <c r="AL8" s="75"/>
      <c r="AM8" s="61">
        <v>10</v>
      </c>
      <c r="AN8" s="58">
        <f>PRODUCT($F8*AM8)</f>
        <v>1.7000000000000002</v>
      </c>
      <c r="AO8" s="61">
        <f>AM8</f>
        <v>10</v>
      </c>
      <c r="AP8" s="58">
        <f>PRODUCT($F8*AO8)</f>
        <v>1.7000000000000002</v>
      </c>
      <c r="AQ8" s="61">
        <f>AO8</f>
        <v>10</v>
      </c>
      <c r="AR8" s="75"/>
      <c r="AS8" s="61">
        <f>AQ8</f>
        <v>10</v>
      </c>
      <c r="AT8" s="75"/>
      <c r="AU8" s="61">
        <f>AS8</f>
        <v>10</v>
      </c>
      <c r="AV8" s="58">
        <f>PRODUCT($F8*AU8)</f>
        <v>1.7000000000000002</v>
      </c>
      <c r="AW8" s="61">
        <f>AU8</f>
        <v>10</v>
      </c>
      <c r="AX8" s="58">
        <f>PRODUCT($F8*AW8)</f>
        <v>1.7000000000000002</v>
      </c>
      <c r="AY8" s="61">
        <f>AW8</f>
        <v>10</v>
      </c>
      <c r="AZ8" s="58">
        <f>PRODUCT($F8*AY8)</f>
        <v>1.7000000000000002</v>
      </c>
      <c r="BA8" s="61">
        <f>AY8</f>
        <v>10</v>
      </c>
      <c r="BB8" s="58">
        <f>PRODUCT($F8*BA8)</f>
        <v>1.7000000000000002</v>
      </c>
      <c r="BC8" s="61">
        <f>BA8</f>
        <v>10</v>
      </c>
      <c r="BD8" s="58">
        <f>PRODUCT($F8*BC8)</f>
        <v>1.7000000000000002</v>
      </c>
      <c r="BE8" s="61">
        <f>BC8</f>
        <v>10</v>
      </c>
      <c r="BF8" s="58">
        <f>PRODUCT($F8*BE8)</f>
        <v>1.7000000000000002</v>
      </c>
      <c r="BG8" s="61">
        <f>BE8</f>
        <v>10</v>
      </c>
      <c r="BH8" s="58">
        <f>PRODUCT($F8*BG8)</f>
        <v>1.7000000000000002</v>
      </c>
      <c r="BI8" s="57">
        <f>BG8</f>
        <v>10</v>
      </c>
      <c r="BJ8" s="58">
        <f>PRODUCT($F8*BI8)</f>
        <v>1.7000000000000002</v>
      </c>
      <c r="BK8" s="80"/>
      <c r="BM8" s="80"/>
      <c r="BN8" s="51"/>
      <c r="BO8" s="34">
        <v>9</v>
      </c>
      <c r="BP8" s="34">
        <v>2</v>
      </c>
      <c r="BQ8" s="34">
        <v>9.02</v>
      </c>
      <c r="BR8" s="34" t="s">
        <v>179</v>
      </c>
      <c r="BS8" s="65" t="s">
        <v>184</v>
      </c>
      <c r="BT8" s="65" t="s">
        <v>183</v>
      </c>
      <c r="BU8" s="37" t="s">
        <v>175</v>
      </c>
      <c r="BV8" s="66">
        <f t="shared" si="5"/>
        <v>1655.6107999999999</v>
      </c>
      <c r="BW8" s="66">
        <f t="shared" si="1"/>
        <v>0</v>
      </c>
      <c r="BX8" s="66" t="str">
        <f t="shared" si="2"/>
        <v/>
      </c>
      <c r="BY8" s="67"/>
      <c r="BZ8" s="68">
        <v>7</v>
      </c>
      <c r="CA8" s="74" t="s">
        <v>7</v>
      </c>
      <c r="CB8" s="69">
        <f t="shared" si="6"/>
        <v>0</v>
      </c>
      <c r="CC8" s="69">
        <f t="shared" si="7"/>
        <v>0</v>
      </c>
      <c r="CD8" s="70"/>
      <c r="CE8" s="71"/>
      <c r="CF8" s="71"/>
      <c r="CG8" s="71">
        <v>7</v>
      </c>
      <c r="CH8" s="71" t="str">
        <f t="shared" si="3"/>
        <v/>
      </c>
      <c r="CI8" s="71" t="str">
        <f t="shared" si="3"/>
        <v/>
      </c>
      <c r="CJ8" s="71" t="str">
        <f t="shared" si="3"/>
        <v/>
      </c>
      <c r="CK8" s="71" t="str">
        <f t="shared" si="3"/>
        <v/>
      </c>
      <c r="CL8" s="71" t="str">
        <f t="shared" si="3"/>
        <v/>
      </c>
      <c r="CM8" s="71" t="str">
        <f t="shared" si="3"/>
        <v/>
      </c>
      <c r="CN8" s="71" t="str">
        <f t="shared" si="3"/>
        <v/>
      </c>
      <c r="CO8" s="71" t="str">
        <f t="shared" si="3"/>
        <v/>
      </c>
      <c r="CP8" s="71" t="str">
        <f t="shared" si="3"/>
        <v/>
      </c>
      <c r="CQ8" s="71" t="str">
        <f t="shared" si="3"/>
        <v/>
      </c>
      <c r="CR8" s="71"/>
      <c r="CS8" s="71">
        <v>7</v>
      </c>
      <c r="CT8" s="71" t="str">
        <f t="shared" si="4"/>
        <v/>
      </c>
      <c r="CU8" s="71" t="str">
        <f t="shared" si="4"/>
        <v/>
      </c>
      <c r="CV8" s="71" t="str">
        <f t="shared" si="4"/>
        <v/>
      </c>
      <c r="CW8" s="71" t="str">
        <f t="shared" si="4"/>
        <v/>
      </c>
      <c r="CX8" s="71" t="str">
        <f t="shared" si="4"/>
        <v/>
      </c>
      <c r="CY8" s="71" t="str">
        <f t="shared" si="4"/>
        <v/>
      </c>
      <c r="CZ8" s="71" t="str">
        <f t="shared" si="4"/>
        <v/>
      </c>
      <c r="DA8" s="71" t="str">
        <f t="shared" si="4"/>
        <v/>
      </c>
      <c r="DB8" s="71" t="str">
        <f t="shared" si="4"/>
        <v/>
      </c>
      <c r="DC8" s="72" t="str">
        <f t="shared" si="4"/>
        <v/>
      </c>
    </row>
    <row r="9" spans="1:107" x14ac:dyDescent="0.35">
      <c r="A9" s="52">
        <v>3</v>
      </c>
      <c r="B9" s="52">
        <v>8</v>
      </c>
      <c r="C9" s="52">
        <v>1</v>
      </c>
      <c r="D9" s="52">
        <v>1</v>
      </c>
      <c r="E9" s="51" t="s">
        <v>185</v>
      </c>
      <c r="F9" s="55">
        <v>0.17</v>
      </c>
      <c r="G9" s="53">
        <v>20</v>
      </c>
      <c r="H9" s="76">
        <f t="shared" ref="H9:H17" si="9">(F9*G9)</f>
        <v>3.4000000000000004</v>
      </c>
      <c r="I9" s="77">
        <v>7</v>
      </c>
      <c r="J9" s="58">
        <f t="shared" ref="J9:J17" si="10">PRODUCT(F9,I9)</f>
        <v>1.1900000000000002</v>
      </c>
      <c r="K9" s="57"/>
      <c r="L9" s="58">
        <f t="shared" ref="L9:L60" si="11">(K9*F9)</f>
        <v>0</v>
      </c>
      <c r="M9" s="77">
        <v>22</v>
      </c>
      <c r="N9" s="58">
        <f t="shared" ref="N9:N17" si="12">PRODUCT(F9*M9)</f>
        <v>3.74</v>
      </c>
      <c r="O9" s="77">
        <v>22</v>
      </c>
      <c r="P9" s="58">
        <f t="shared" ref="P9:P17" si="13">PRODUCT(F9*O9)</f>
        <v>3.74</v>
      </c>
      <c r="Q9" s="77">
        <v>22</v>
      </c>
      <c r="R9" s="58">
        <f t="shared" ref="R9:R17" si="14">PRODUCT(F9*Q9)</f>
        <v>3.74</v>
      </c>
      <c r="S9" s="77">
        <v>21</v>
      </c>
      <c r="T9" s="58">
        <f t="shared" ref="T9:T17" si="15">PRODUCT(F9*S9)</f>
        <v>3.5700000000000003</v>
      </c>
      <c r="U9" s="57">
        <v>9</v>
      </c>
      <c r="V9" s="58">
        <f t="shared" ref="V9:V17" si="16">PRODUCT(U9*F9)</f>
        <v>1.53</v>
      </c>
      <c r="W9" s="77">
        <v>7</v>
      </c>
      <c r="X9" s="58">
        <f t="shared" ref="X9:X17" si="17">PRODUCT(W9*F9)</f>
        <v>1.1900000000000002</v>
      </c>
      <c r="Y9" s="57">
        <v>6</v>
      </c>
      <c r="Z9" s="58">
        <f t="shared" ref="Z9:Z17" si="18">PRODUCT(Y9*F9)</f>
        <v>1.02</v>
      </c>
      <c r="AA9" s="57">
        <v>5</v>
      </c>
      <c r="AB9" s="58">
        <f t="shared" ref="AB9:AB17" si="19">PRODUCT(AA9*F9)</f>
        <v>0.85000000000000009</v>
      </c>
      <c r="AC9" s="57">
        <v>3</v>
      </c>
      <c r="AD9" s="58">
        <f t="shared" ref="AD9:AD17" si="20">PRODUCT(AC9*F9)</f>
        <v>0.51</v>
      </c>
      <c r="AE9" s="57">
        <v>4</v>
      </c>
      <c r="AF9" s="58">
        <f t="shared" ref="AF9:AF17" si="21">PRODUCT(F9,AE9)</f>
        <v>0.68</v>
      </c>
      <c r="AG9" s="57">
        <v>5</v>
      </c>
      <c r="AH9" s="58">
        <f t="shared" ref="AH9:AH17" si="22">PRODUCT(F9,AG9)</f>
        <v>0.85000000000000009</v>
      </c>
      <c r="AI9" s="61">
        <v>7</v>
      </c>
      <c r="AJ9" s="58">
        <f t="shared" ref="AJ9:AJ17" si="23">PRODUCT(F9,AI9)</f>
        <v>1.1900000000000002</v>
      </c>
      <c r="AK9" s="61">
        <v>5</v>
      </c>
      <c r="AL9" s="58">
        <f t="shared" ref="AL9:AL17" si="24">PRODUCT(F9,AK9)</f>
        <v>0.85000000000000009</v>
      </c>
      <c r="AM9" s="61">
        <v>7</v>
      </c>
      <c r="AN9" s="58">
        <f t="shared" ref="AN9:AN17" si="25">PRODUCT(F9,AM9)</f>
        <v>1.1900000000000002</v>
      </c>
      <c r="AO9" s="61">
        <v>5</v>
      </c>
      <c r="AP9" s="58">
        <f t="shared" ref="AP9:AP17" si="26">PRODUCT( F9*AO9)</f>
        <v>0.85000000000000009</v>
      </c>
      <c r="AQ9" s="61">
        <v>5</v>
      </c>
      <c r="AR9" s="58">
        <f t="shared" ref="AR9:AR17" si="27">PRODUCT( F9*AQ9)</f>
        <v>0.85000000000000009</v>
      </c>
      <c r="AS9" s="57">
        <v>6</v>
      </c>
      <c r="AT9" s="58">
        <f t="shared" ref="AT9:AT17" si="28">PRODUCT( F9*AS9)</f>
        <v>1.02</v>
      </c>
      <c r="AU9" s="57">
        <v>6</v>
      </c>
      <c r="AV9" s="58">
        <f t="shared" ref="AV9:AV17" si="29">PRODUCT( F9*AU9)</f>
        <v>1.02</v>
      </c>
      <c r="AW9" s="57">
        <v>6</v>
      </c>
      <c r="AX9" s="58">
        <f t="shared" ref="AX9:AX17" si="30">PRODUCT(F9*AW9)</f>
        <v>1.02</v>
      </c>
      <c r="AY9" s="57">
        <v>7</v>
      </c>
      <c r="AZ9" s="58">
        <f t="shared" ref="AZ9:AZ17" si="31">PRODUCT(F9*AY9)</f>
        <v>1.1900000000000002</v>
      </c>
      <c r="BA9" s="57">
        <v>4</v>
      </c>
      <c r="BB9" s="58">
        <f t="shared" ref="BB9:BB17" si="32">PRODUCT(F9*BA9)</f>
        <v>0.68</v>
      </c>
      <c r="BC9" s="57">
        <v>6</v>
      </c>
      <c r="BD9" s="58">
        <f t="shared" ref="BD9:BD17" si="33">PRODUCT(F9*BC9)</f>
        <v>1.02</v>
      </c>
      <c r="BE9" s="61">
        <v>6</v>
      </c>
      <c r="BF9" s="58">
        <f t="shared" ref="BF9:BF17" si="34">PRODUCT(F9*BE9)</f>
        <v>1.02</v>
      </c>
      <c r="BG9" s="61">
        <v>7</v>
      </c>
      <c r="BH9" s="58">
        <f t="shared" ref="BH9:BH17" si="35">PRODUCT(F9*BG9)</f>
        <v>1.1900000000000002</v>
      </c>
      <c r="BI9" s="57">
        <v>4</v>
      </c>
      <c r="BJ9" s="58">
        <f t="shared" ref="BJ9:BJ17" si="36">PRODUCT(F9*BI9)</f>
        <v>0.68</v>
      </c>
      <c r="BK9" s="62">
        <f t="shared" ref="BK9:BL17" si="37">I9</f>
        <v>7</v>
      </c>
      <c r="BL9" s="63">
        <f t="shared" si="37"/>
        <v>1.1900000000000002</v>
      </c>
      <c r="BO9" s="34">
        <v>9</v>
      </c>
      <c r="BP9" s="34">
        <v>3</v>
      </c>
      <c r="BQ9" s="34">
        <v>9.0299999999999994</v>
      </c>
      <c r="BR9" s="34" t="s">
        <v>179</v>
      </c>
      <c r="BS9" s="65" t="s">
        <v>185</v>
      </c>
      <c r="BT9" s="65" t="s">
        <v>183</v>
      </c>
      <c r="BU9" s="37" t="s">
        <v>175</v>
      </c>
      <c r="BV9" s="66">
        <f t="shared" si="5"/>
        <v>938.17945333333341</v>
      </c>
      <c r="BW9" s="66">
        <f t="shared" si="1"/>
        <v>252.89872707954657</v>
      </c>
      <c r="BX9" s="66">
        <f t="shared" si="2"/>
        <v>26.956327617387306</v>
      </c>
      <c r="BY9" s="67"/>
      <c r="BZ9" s="68">
        <v>8</v>
      </c>
      <c r="CA9" s="74" t="s">
        <v>8</v>
      </c>
      <c r="CB9" s="69">
        <f t="shared" si="6"/>
        <v>0</v>
      </c>
      <c r="CC9" s="69">
        <f t="shared" si="7"/>
        <v>0</v>
      </c>
      <c r="CD9" s="70"/>
      <c r="CE9" s="71"/>
      <c r="CF9" s="71"/>
      <c r="CG9" s="71">
        <v>8</v>
      </c>
      <c r="CH9" s="71" t="str">
        <f t="shared" si="3"/>
        <v/>
      </c>
      <c r="CI9" s="71" t="str">
        <f t="shared" si="3"/>
        <v/>
      </c>
      <c r="CJ9" s="71" t="str">
        <f t="shared" si="3"/>
        <v/>
      </c>
      <c r="CK9" s="71" t="str">
        <f t="shared" si="3"/>
        <v/>
      </c>
      <c r="CL9" s="71" t="str">
        <f t="shared" si="3"/>
        <v/>
      </c>
      <c r="CM9" s="71" t="str">
        <f t="shared" si="3"/>
        <v/>
      </c>
      <c r="CN9" s="71" t="str">
        <f t="shared" si="3"/>
        <v/>
      </c>
      <c r="CO9" s="71" t="str">
        <f t="shared" si="3"/>
        <v/>
      </c>
      <c r="CP9" s="71" t="str">
        <f t="shared" si="3"/>
        <v/>
      </c>
      <c r="CQ9" s="71" t="str">
        <f t="shared" si="3"/>
        <v/>
      </c>
      <c r="CR9" s="71"/>
      <c r="CS9" s="71">
        <v>8</v>
      </c>
      <c r="CT9" s="71" t="str">
        <f t="shared" si="4"/>
        <v/>
      </c>
      <c r="CU9" s="71" t="str">
        <f t="shared" si="4"/>
        <v/>
      </c>
      <c r="CV9" s="71" t="str">
        <f t="shared" si="4"/>
        <v/>
      </c>
      <c r="CW9" s="71" t="str">
        <f t="shared" si="4"/>
        <v/>
      </c>
      <c r="CX9" s="71" t="str">
        <f t="shared" si="4"/>
        <v/>
      </c>
      <c r="CY9" s="71" t="str">
        <f t="shared" si="4"/>
        <v/>
      </c>
      <c r="CZ9" s="71" t="str">
        <f t="shared" si="4"/>
        <v/>
      </c>
      <c r="DA9" s="71" t="str">
        <f t="shared" si="4"/>
        <v/>
      </c>
      <c r="DB9" s="71" t="str">
        <f t="shared" si="4"/>
        <v/>
      </c>
      <c r="DC9" s="72" t="str">
        <f t="shared" si="4"/>
        <v/>
      </c>
    </row>
    <row r="10" spans="1:107" ht="15" thickBot="1" x14ac:dyDescent="0.4">
      <c r="A10" s="52">
        <v>1</v>
      </c>
      <c r="B10" s="52">
        <v>9</v>
      </c>
      <c r="C10" s="52">
        <v>1</v>
      </c>
      <c r="D10" s="52">
        <v>1</v>
      </c>
      <c r="E10" s="51" t="s">
        <v>186</v>
      </c>
      <c r="F10" s="55">
        <v>0.17</v>
      </c>
      <c r="G10" s="53">
        <v>272</v>
      </c>
      <c r="H10" s="76">
        <f t="shared" si="9"/>
        <v>46.24</v>
      </c>
      <c r="I10" s="77">
        <v>99</v>
      </c>
      <c r="J10" s="58">
        <f t="shared" si="10"/>
        <v>16.830000000000002</v>
      </c>
      <c r="K10" s="57"/>
      <c r="L10" s="58">
        <f t="shared" si="11"/>
        <v>0</v>
      </c>
      <c r="M10" s="77">
        <v>214</v>
      </c>
      <c r="N10" s="58">
        <f t="shared" si="12"/>
        <v>36.380000000000003</v>
      </c>
      <c r="O10" s="77">
        <v>265</v>
      </c>
      <c r="P10" s="58">
        <f t="shared" si="13"/>
        <v>45.050000000000004</v>
      </c>
      <c r="Q10" s="77">
        <v>251</v>
      </c>
      <c r="R10" s="58">
        <f t="shared" si="14"/>
        <v>42.67</v>
      </c>
      <c r="S10" s="77">
        <v>276</v>
      </c>
      <c r="T10" s="58">
        <f t="shared" si="15"/>
        <v>46.92</v>
      </c>
      <c r="U10" s="57">
        <v>315</v>
      </c>
      <c r="V10" s="58">
        <f t="shared" si="16"/>
        <v>53.550000000000004</v>
      </c>
      <c r="W10" s="77">
        <v>176</v>
      </c>
      <c r="X10" s="58">
        <f t="shared" si="17"/>
        <v>29.92</v>
      </c>
      <c r="Y10" s="57">
        <v>171</v>
      </c>
      <c r="Z10" s="58">
        <f t="shared" si="18"/>
        <v>29.070000000000004</v>
      </c>
      <c r="AA10" s="57">
        <v>210</v>
      </c>
      <c r="AB10" s="58">
        <f t="shared" si="19"/>
        <v>35.700000000000003</v>
      </c>
      <c r="AC10" s="57">
        <v>162</v>
      </c>
      <c r="AD10" s="58">
        <f t="shared" si="20"/>
        <v>27.540000000000003</v>
      </c>
      <c r="AE10" s="57">
        <v>179</v>
      </c>
      <c r="AF10" s="58">
        <f t="shared" si="21"/>
        <v>30.430000000000003</v>
      </c>
      <c r="AG10" s="57">
        <v>132</v>
      </c>
      <c r="AH10" s="58">
        <f t="shared" si="22"/>
        <v>22.44</v>
      </c>
      <c r="AI10" s="61">
        <v>118</v>
      </c>
      <c r="AJ10" s="58">
        <f t="shared" si="23"/>
        <v>20.060000000000002</v>
      </c>
      <c r="AK10" s="61">
        <v>129</v>
      </c>
      <c r="AL10" s="58">
        <f t="shared" si="24"/>
        <v>21.930000000000003</v>
      </c>
      <c r="AM10" s="61">
        <v>110</v>
      </c>
      <c r="AN10" s="58">
        <f t="shared" si="25"/>
        <v>18.700000000000003</v>
      </c>
      <c r="AO10" s="61">
        <v>114</v>
      </c>
      <c r="AP10" s="58">
        <f t="shared" si="26"/>
        <v>19.380000000000003</v>
      </c>
      <c r="AQ10" s="61">
        <v>107</v>
      </c>
      <c r="AR10" s="58">
        <f t="shared" si="27"/>
        <v>18.190000000000001</v>
      </c>
      <c r="AS10" s="57">
        <v>99</v>
      </c>
      <c r="AT10" s="58">
        <f t="shared" si="28"/>
        <v>16.830000000000002</v>
      </c>
      <c r="AU10" s="57">
        <v>76</v>
      </c>
      <c r="AV10" s="58">
        <f t="shared" si="29"/>
        <v>12.920000000000002</v>
      </c>
      <c r="AW10" s="57">
        <v>98</v>
      </c>
      <c r="AX10" s="58">
        <f t="shared" si="30"/>
        <v>16.66</v>
      </c>
      <c r="AY10" s="57">
        <v>98</v>
      </c>
      <c r="AZ10" s="58">
        <f t="shared" si="31"/>
        <v>16.66</v>
      </c>
      <c r="BA10" s="57">
        <v>80</v>
      </c>
      <c r="BB10" s="58">
        <f t="shared" si="32"/>
        <v>13.600000000000001</v>
      </c>
      <c r="BC10" s="57">
        <v>80</v>
      </c>
      <c r="BD10" s="58">
        <f t="shared" si="33"/>
        <v>13.600000000000001</v>
      </c>
      <c r="BE10" s="61">
        <v>83</v>
      </c>
      <c r="BF10" s="58">
        <f t="shared" si="34"/>
        <v>14.110000000000001</v>
      </c>
      <c r="BG10" s="61">
        <v>80</v>
      </c>
      <c r="BH10" s="58">
        <f t="shared" si="35"/>
        <v>13.600000000000001</v>
      </c>
      <c r="BI10" s="57">
        <v>77</v>
      </c>
      <c r="BJ10" s="58">
        <f t="shared" si="36"/>
        <v>13.090000000000002</v>
      </c>
      <c r="BK10" s="62">
        <f t="shared" si="37"/>
        <v>99</v>
      </c>
      <c r="BL10" s="63">
        <f t="shared" si="37"/>
        <v>16.830000000000002</v>
      </c>
      <c r="BO10" s="78">
        <v>17</v>
      </c>
      <c r="BP10" s="78">
        <v>1</v>
      </c>
      <c r="BQ10" s="78">
        <v>17.010000000000002</v>
      </c>
      <c r="BR10" s="34" t="s">
        <v>179</v>
      </c>
      <c r="BS10" s="65" t="s">
        <v>186</v>
      </c>
      <c r="BT10" s="65" t="s">
        <v>187</v>
      </c>
      <c r="BU10" s="37" t="s">
        <v>175</v>
      </c>
      <c r="BV10" s="66">
        <f t="shared" si="5"/>
        <v>13244.886399999999</v>
      </c>
      <c r="BW10" s="66">
        <f t="shared" si="1"/>
        <v>496.68324000000001</v>
      </c>
      <c r="BX10" s="66">
        <f t="shared" si="2"/>
        <v>3.7500000000000004</v>
      </c>
      <c r="BY10" s="67"/>
      <c r="BZ10" s="68">
        <v>9</v>
      </c>
      <c r="CA10" s="82" t="s">
        <v>9</v>
      </c>
      <c r="CB10" s="83">
        <f t="shared" si="6"/>
        <v>9602.5426399999997</v>
      </c>
      <c r="CC10" s="83">
        <f t="shared" si="7"/>
        <v>2832.3367103890805</v>
      </c>
      <c r="CD10" s="70"/>
      <c r="CE10" s="71"/>
      <c r="CF10" s="71"/>
      <c r="CG10" s="71">
        <v>9</v>
      </c>
      <c r="CH10" s="71">
        <f t="shared" si="3"/>
        <v>7008.7523866666661</v>
      </c>
      <c r="CI10" s="71">
        <f t="shared" si="3"/>
        <v>1655.6107999999999</v>
      </c>
      <c r="CJ10" s="71">
        <f t="shared" si="3"/>
        <v>938.17945333333341</v>
      </c>
      <c r="CK10" s="71" t="str">
        <f t="shared" si="3"/>
        <v/>
      </c>
      <c r="CL10" s="71" t="str">
        <f t="shared" si="3"/>
        <v/>
      </c>
      <c r="CM10" s="71" t="str">
        <f t="shared" si="3"/>
        <v/>
      </c>
      <c r="CN10" s="71" t="str">
        <f t="shared" si="3"/>
        <v/>
      </c>
      <c r="CO10" s="71" t="str">
        <f t="shared" si="3"/>
        <v/>
      </c>
      <c r="CP10" s="71" t="str">
        <f t="shared" si="3"/>
        <v/>
      </c>
      <c r="CQ10" s="71" t="str">
        <f t="shared" si="3"/>
        <v/>
      </c>
      <c r="CR10" s="71"/>
      <c r="CS10" s="71">
        <v>9</v>
      </c>
      <c r="CT10" s="71">
        <f t="shared" si="4"/>
        <v>7958173.4748591818</v>
      </c>
      <c r="CU10" s="71">
        <f t="shared" si="4"/>
        <v>0</v>
      </c>
      <c r="CV10" s="71">
        <f t="shared" si="4"/>
        <v>63957.766158454986</v>
      </c>
      <c r="CW10" s="71" t="str">
        <f t="shared" si="4"/>
        <v/>
      </c>
      <c r="CX10" s="71" t="str">
        <f t="shared" si="4"/>
        <v/>
      </c>
      <c r="CY10" s="71" t="str">
        <f t="shared" si="4"/>
        <v/>
      </c>
      <c r="CZ10" s="71" t="str">
        <f t="shared" si="4"/>
        <v/>
      </c>
      <c r="DA10" s="71" t="str">
        <f t="shared" si="4"/>
        <v/>
      </c>
      <c r="DB10" s="71" t="str">
        <f t="shared" si="4"/>
        <v/>
      </c>
      <c r="DC10" s="72" t="str">
        <f t="shared" si="4"/>
        <v/>
      </c>
    </row>
    <row r="11" spans="1:107" ht="15" thickTop="1" x14ac:dyDescent="0.35">
      <c r="A11" s="52">
        <v>2</v>
      </c>
      <c r="B11" s="52">
        <v>10</v>
      </c>
      <c r="C11" s="52">
        <v>1</v>
      </c>
      <c r="D11" s="52">
        <v>1</v>
      </c>
      <c r="E11" s="84" t="s">
        <v>188</v>
      </c>
      <c r="F11" s="55">
        <v>0.17</v>
      </c>
      <c r="G11" s="53">
        <v>420</v>
      </c>
      <c r="H11" s="76">
        <f t="shared" si="9"/>
        <v>71.400000000000006</v>
      </c>
      <c r="I11" s="77">
        <v>153</v>
      </c>
      <c r="J11" s="58">
        <f t="shared" si="10"/>
        <v>26.01</v>
      </c>
      <c r="K11" s="57"/>
      <c r="L11" s="58">
        <f t="shared" si="11"/>
        <v>0</v>
      </c>
      <c r="M11" s="77">
        <v>737</v>
      </c>
      <c r="N11" s="58">
        <f t="shared" si="12"/>
        <v>125.29</v>
      </c>
      <c r="O11" s="77">
        <v>607</v>
      </c>
      <c r="P11" s="58">
        <f t="shared" si="13"/>
        <v>103.19000000000001</v>
      </c>
      <c r="Q11" s="77">
        <v>473</v>
      </c>
      <c r="R11" s="58">
        <f t="shared" si="14"/>
        <v>80.410000000000011</v>
      </c>
      <c r="S11" s="77">
        <v>492</v>
      </c>
      <c r="T11" s="58">
        <f t="shared" si="15"/>
        <v>83.64</v>
      </c>
      <c r="U11" s="57">
        <v>512</v>
      </c>
      <c r="V11" s="58">
        <f t="shared" si="16"/>
        <v>87.04</v>
      </c>
      <c r="W11" s="77">
        <v>531</v>
      </c>
      <c r="X11" s="58">
        <f t="shared" si="17"/>
        <v>90.27000000000001</v>
      </c>
      <c r="Y11" s="57">
        <v>587</v>
      </c>
      <c r="Z11" s="58">
        <f t="shared" si="18"/>
        <v>99.79</v>
      </c>
      <c r="AA11" s="57">
        <v>566</v>
      </c>
      <c r="AB11" s="58">
        <f t="shared" si="19"/>
        <v>96.220000000000013</v>
      </c>
      <c r="AC11" s="57">
        <v>464</v>
      </c>
      <c r="AD11" s="58">
        <f t="shared" si="20"/>
        <v>78.88000000000001</v>
      </c>
      <c r="AE11" s="57">
        <v>444</v>
      </c>
      <c r="AF11" s="58">
        <f t="shared" si="21"/>
        <v>75.48</v>
      </c>
      <c r="AG11" s="57">
        <v>445</v>
      </c>
      <c r="AH11" s="58">
        <f t="shared" si="22"/>
        <v>75.650000000000006</v>
      </c>
      <c r="AI11" s="61">
        <v>471</v>
      </c>
      <c r="AJ11" s="58">
        <f t="shared" si="23"/>
        <v>80.070000000000007</v>
      </c>
      <c r="AK11" s="61">
        <v>421</v>
      </c>
      <c r="AL11" s="58">
        <f t="shared" si="24"/>
        <v>71.570000000000007</v>
      </c>
      <c r="AM11" s="61">
        <v>451</v>
      </c>
      <c r="AN11" s="58">
        <f t="shared" si="25"/>
        <v>76.67</v>
      </c>
      <c r="AO11" s="61">
        <v>353</v>
      </c>
      <c r="AP11" s="58">
        <f t="shared" si="26"/>
        <v>60.010000000000005</v>
      </c>
      <c r="AQ11" s="61">
        <v>278</v>
      </c>
      <c r="AR11" s="58">
        <f t="shared" si="27"/>
        <v>47.260000000000005</v>
      </c>
      <c r="AS11" s="57">
        <v>260</v>
      </c>
      <c r="AT11" s="58">
        <f t="shared" si="28"/>
        <v>44.2</v>
      </c>
      <c r="AU11" s="57">
        <v>246</v>
      </c>
      <c r="AV11" s="58">
        <f t="shared" si="29"/>
        <v>41.82</v>
      </c>
      <c r="AW11" s="57">
        <v>199</v>
      </c>
      <c r="AX11" s="58">
        <f t="shared" si="30"/>
        <v>33.830000000000005</v>
      </c>
      <c r="AY11" s="57">
        <v>220</v>
      </c>
      <c r="AZ11" s="58">
        <f t="shared" si="31"/>
        <v>37.400000000000006</v>
      </c>
      <c r="BA11" s="57">
        <v>240</v>
      </c>
      <c r="BB11" s="58">
        <f t="shared" si="32"/>
        <v>40.800000000000004</v>
      </c>
      <c r="BC11" s="57">
        <v>244</v>
      </c>
      <c r="BD11" s="58">
        <f t="shared" si="33"/>
        <v>41.480000000000004</v>
      </c>
      <c r="BE11" s="61">
        <v>266</v>
      </c>
      <c r="BF11" s="58">
        <f t="shared" si="34"/>
        <v>45.220000000000006</v>
      </c>
      <c r="BG11" s="61">
        <v>211</v>
      </c>
      <c r="BH11" s="58">
        <f t="shared" si="35"/>
        <v>35.870000000000005</v>
      </c>
      <c r="BI11" s="57">
        <v>152</v>
      </c>
      <c r="BJ11" s="58">
        <f t="shared" si="36"/>
        <v>25.840000000000003</v>
      </c>
      <c r="BK11" s="62">
        <f t="shared" si="37"/>
        <v>153</v>
      </c>
      <c r="BL11" s="63">
        <f t="shared" si="37"/>
        <v>26.01</v>
      </c>
      <c r="BO11" s="78">
        <v>17</v>
      </c>
      <c r="BP11" s="78">
        <v>2</v>
      </c>
      <c r="BQ11" s="78">
        <v>17.02</v>
      </c>
      <c r="BR11" s="34" t="s">
        <v>179</v>
      </c>
      <c r="BS11" s="65" t="s">
        <v>188</v>
      </c>
      <c r="BT11" s="65" t="s">
        <v>187</v>
      </c>
      <c r="BU11" s="37" t="s">
        <v>189</v>
      </c>
      <c r="BV11" s="66">
        <f t="shared" si="5"/>
        <v>34712.639773333329</v>
      </c>
      <c r="BW11" s="66">
        <f t="shared" si="1"/>
        <v>9438.9177482764189</v>
      </c>
      <c r="BX11" s="66">
        <f t="shared" si="2"/>
        <v>27.191587300506921</v>
      </c>
      <c r="BY11" s="67"/>
      <c r="BZ11" s="68">
        <v>10</v>
      </c>
      <c r="CA11" s="74" t="s">
        <v>10</v>
      </c>
      <c r="CB11" s="69">
        <f t="shared" si="6"/>
        <v>0</v>
      </c>
      <c r="CC11" s="69">
        <f t="shared" si="7"/>
        <v>0</v>
      </c>
      <c r="CD11" s="70"/>
      <c r="CE11" s="71"/>
      <c r="CF11" s="71"/>
      <c r="CG11" s="71">
        <v>10</v>
      </c>
      <c r="CH11" s="71" t="str">
        <f t="shared" si="3"/>
        <v/>
      </c>
      <c r="CI11" s="71" t="str">
        <f t="shared" si="3"/>
        <v/>
      </c>
      <c r="CJ11" s="71" t="str">
        <f t="shared" si="3"/>
        <v/>
      </c>
      <c r="CK11" s="71" t="str">
        <f t="shared" si="3"/>
        <v/>
      </c>
      <c r="CL11" s="71" t="str">
        <f t="shared" si="3"/>
        <v/>
      </c>
      <c r="CM11" s="71" t="str">
        <f t="shared" si="3"/>
        <v/>
      </c>
      <c r="CN11" s="71" t="str">
        <f t="shared" si="3"/>
        <v/>
      </c>
      <c r="CO11" s="71" t="str">
        <f t="shared" si="3"/>
        <v/>
      </c>
      <c r="CP11" s="71" t="str">
        <f t="shared" si="3"/>
        <v/>
      </c>
      <c r="CQ11" s="71" t="str">
        <f t="shared" si="3"/>
        <v/>
      </c>
      <c r="CR11" s="71"/>
      <c r="CS11" s="71">
        <v>10</v>
      </c>
      <c r="CT11" s="71" t="str">
        <f t="shared" si="4"/>
        <v/>
      </c>
      <c r="CU11" s="71" t="str">
        <f t="shared" si="4"/>
        <v/>
      </c>
      <c r="CV11" s="71" t="str">
        <f t="shared" si="4"/>
        <v/>
      </c>
      <c r="CW11" s="71" t="str">
        <f t="shared" si="4"/>
        <v/>
      </c>
      <c r="CX11" s="71" t="str">
        <f t="shared" si="4"/>
        <v/>
      </c>
      <c r="CY11" s="71" t="str">
        <f t="shared" si="4"/>
        <v/>
      </c>
      <c r="CZ11" s="71" t="str">
        <f t="shared" si="4"/>
        <v/>
      </c>
      <c r="DA11" s="71" t="str">
        <f t="shared" si="4"/>
        <v/>
      </c>
      <c r="DB11" s="71" t="str">
        <f t="shared" si="4"/>
        <v/>
      </c>
      <c r="DC11" s="72" t="str">
        <f t="shared" si="4"/>
        <v/>
      </c>
    </row>
    <row r="12" spans="1:107" x14ac:dyDescent="0.35">
      <c r="A12" s="52">
        <v>4</v>
      </c>
      <c r="B12" s="52">
        <v>11</v>
      </c>
      <c r="C12" s="52">
        <v>1</v>
      </c>
      <c r="D12" s="52">
        <v>1</v>
      </c>
      <c r="E12" s="51" t="s">
        <v>190</v>
      </c>
      <c r="F12" s="55">
        <v>0.17</v>
      </c>
      <c r="G12" s="53">
        <v>323</v>
      </c>
      <c r="H12" s="76">
        <f t="shared" si="9"/>
        <v>54.910000000000004</v>
      </c>
      <c r="I12" s="77">
        <v>118</v>
      </c>
      <c r="J12" s="58">
        <f t="shared" si="10"/>
        <v>20.060000000000002</v>
      </c>
      <c r="K12" s="57"/>
      <c r="L12" s="58">
        <f t="shared" si="11"/>
        <v>0</v>
      </c>
      <c r="M12" s="77">
        <v>54</v>
      </c>
      <c r="N12" s="58">
        <f t="shared" si="12"/>
        <v>9.1800000000000015</v>
      </c>
      <c r="O12" s="77">
        <v>103</v>
      </c>
      <c r="P12" s="58">
        <f t="shared" si="13"/>
        <v>17.510000000000002</v>
      </c>
      <c r="Q12" s="77">
        <v>262</v>
      </c>
      <c r="R12" s="58">
        <f t="shared" si="14"/>
        <v>44.540000000000006</v>
      </c>
      <c r="S12" s="77">
        <v>355</v>
      </c>
      <c r="T12" s="58">
        <f t="shared" si="15"/>
        <v>60.35</v>
      </c>
      <c r="U12" s="57">
        <v>477</v>
      </c>
      <c r="V12" s="58">
        <f t="shared" si="16"/>
        <v>81.09</v>
      </c>
      <c r="W12" s="77">
        <v>373</v>
      </c>
      <c r="X12" s="58">
        <f t="shared" si="17"/>
        <v>63.410000000000004</v>
      </c>
      <c r="Y12" s="57">
        <v>244</v>
      </c>
      <c r="Z12" s="58">
        <f t="shared" si="18"/>
        <v>41.480000000000004</v>
      </c>
      <c r="AA12" s="57">
        <v>187</v>
      </c>
      <c r="AB12" s="58">
        <f t="shared" si="19"/>
        <v>31.790000000000003</v>
      </c>
      <c r="AC12" s="57">
        <v>151</v>
      </c>
      <c r="AD12" s="58">
        <f t="shared" si="20"/>
        <v>25.67</v>
      </c>
      <c r="AE12" s="57">
        <v>226</v>
      </c>
      <c r="AF12" s="58">
        <f t="shared" si="21"/>
        <v>38.42</v>
      </c>
      <c r="AG12" s="57">
        <v>92</v>
      </c>
      <c r="AH12" s="58">
        <f t="shared" si="22"/>
        <v>15.64</v>
      </c>
      <c r="AI12" s="61">
        <v>97</v>
      </c>
      <c r="AJ12" s="58">
        <f t="shared" si="23"/>
        <v>16.490000000000002</v>
      </c>
      <c r="AK12" s="61">
        <v>69</v>
      </c>
      <c r="AL12" s="58">
        <f t="shared" si="24"/>
        <v>11.73</v>
      </c>
      <c r="AM12" s="61">
        <v>82</v>
      </c>
      <c r="AN12" s="58">
        <f t="shared" si="25"/>
        <v>13.940000000000001</v>
      </c>
      <c r="AO12" s="61">
        <v>91</v>
      </c>
      <c r="AP12" s="58">
        <f t="shared" si="26"/>
        <v>15.47</v>
      </c>
      <c r="AQ12" s="61">
        <v>82</v>
      </c>
      <c r="AR12" s="58">
        <f t="shared" si="27"/>
        <v>13.940000000000001</v>
      </c>
      <c r="AS12" s="57">
        <v>115</v>
      </c>
      <c r="AT12" s="58">
        <f t="shared" si="28"/>
        <v>19.55</v>
      </c>
      <c r="AU12" s="57">
        <v>63</v>
      </c>
      <c r="AV12" s="58">
        <f t="shared" si="29"/>
        <v>10.71</v>
      </c>
      <c r="AW12" s="57">
        <v>54</v>
      </c>
      <c r="AX12" s="58">
        <f t="shared" si="30"/>
        <v>9.1800000000000015</v>
      </c>
      <c r="AY12" s="57">
        <v>62</v>
      </c>
      <c r="AZ12" s="58">
        <f t="shared" si="31"/>
        <v>10.540000000000001</v>
      </c>
      <c r="BA12" s="57">
        <v>55</v>
      </c>
      <c r="BB12" s="58">
        <f t="shared" si="32"/>
        <v>9.3500000000000014</v>
      </c>
      <c r="BC12" s="57">
        <v>51</v>
      </c>
      <c r="BD12" s="58">
        <f t="shared" si="33"/>
        <v>8.67</v>
      </c>
      <c r="BE12" s="61">
        <v>45</v>
      </c>
      <c r="BF12" s="58">
        <f t="shared" si="34"/>
        <v>7.65</v>
      </c>
      <c r="BG12" s="61">
        <v>63</v>
      </c>
      <c r="BH12" s="58">
        <f t="shared" si="35"/>
        <v>10.71</v>
      </c>
      <c r="BI12" s="57">
        <v>67</v>
      </c>
      <c r="BJ12" s="58">
        <f t="shared" si="36"/>
        <v>11.39</v>
      </c>
      <c r="BK12" s="62">
        <f t="shared" si="37"/>
        <v>118</v>
      </c>
      <c r="BL12" s="63">
        <f t="shared" si="37"/>
        <v>20.060000000000002</v>
      </c>
      <c r="BO12" s="78">
        <v>17</v>
      </c>
      <c r="BP12" s="78">
        <v>3</v>
      </c>
      <c r="BQ12" s="78">
        <v>17.03</v>
      </c>
      <c r="BR12" s="34" t="s">
        <v>179</v>
      </c>
      <c r="BS12" s="65" t="s">
        <v>190</v>
      </c>
      <c r="BT12" s="65" t="s">
        <v>187</v>
      </c>
      <c r="BU12" s="37" t="s">
        <v>175</v>
      </c>
      <c r="BV12" s="66">
        <f t="shared" si="5"/>
        <v>9657.7296666666662</v>
      </c>
      <c r="BW12" s="66">
        <f t="shared" si="1"/>
        <v>1940.1987989924924</v>
      </c>
      <c r="BX12" s="66">
        <f t="shared" si="2"/>
        <v>20.089595235710771</v>
      </c>
      <c r="BY12" s="67"/>
      <c r="BZ12" s="68">
        <v>11</v>
      </c>
      <c r="CA12" s="74" t="s">
        <v>11</v>
      </c>
      <c r="CB12" s="69">
        <f t="shared" si="6"/>
        <v>0</v>
      </c>
      <c r="CC12" s="69">
        <f t="shared" si="7"/>
        <v>0</v>
      </c>
      <c r="CD12" s="70"/>
      <c r="CE12" s="71"/>
      <c r="CF12" s="71"/>
      <c r="CG12" s="71">
        <v>11</v>
      </c>
      <c r="CH12" s="71" t="str">
        <f t="shared" si="3"/>
        <v/>
      </c>
      <c r="CI12" s="71" t="str">
        <f t="shared" si="3"/>
        <v/>
      </c>
      <c r="CJ12" s="71" t="str">
        <f t="shared" si="3"/>
        <v/>
      </c>
      <c r="CK12" s="71" t="str">
        <f t="shared" si="3"/>
        <v/>
      </c>
      <c r="CL12" s="71" t="str">
        <f t="shared" si="3"/>
        <v/>
      </c>
      <c r="CM12" s="71" t="str">
        <f t="shared" si="3"/>
        <v/>
      </c>
      <c r="CN12" s="71" t="str">
        <f t="shared" si="3"/>
        <v/>
      </c>
      <c r="CO12" s="71" t="str">
        <f t="shared" si="3"/>
        <v/>
      </c>
      <c r="CP12" s="71" t="str">
        <f t="shared" si="3"/>
        <v/>
      </c>
      <c r="CQ12" s="71" t="str">
        <f t="shared" si="3"/>
        <v/>
      </c>
      <c r="CR12" s="71"/>
      <c r="CS12" s="71">
        <v>11</v>
      </c>
      <c r="CT12" s="71" t="str">
        <f t="shared" si="4"/>
        <v/>
      </c>
      <c r="CU12" s="71" t="str">
        <f t="shared" si="4"/>
        <v/>
      </c>
      <c r="CV12" s="71" t="str">
        <f t="shared" si="4"/>
        <v/>
      </c>
      <c r="CW12" s="71" t="str">
        <f t="shared" si="4"/>
        <v/>
      </c>
      <c r="CX12" s="71" t="str">
        <f t="shared" si="4"/>
        <v/>
      </c>
      <c r="CY12" s="71" t="str">
        <f t="shared" si="4"/>
        <v/>
      </c>
      <c r="CZ12" s="71" t="str">
        <f t="shared" si="4"/>
        <v/>
      </c>
      <c r="DA12" s="71" t="str">
        <f t="shared" si="4"/>
        <v/>
      </c>
      <c r="DB12" s="71" t="str">
        <f t="shared" si="4"/>
        <v/>
      </c>
      <c r="DC12" s="72" t="str">
        <f t="shared" si="4"/>
        <v/>
      </c>
    </row>
    <row r="13" spans="1:107" x14ac:dyDescent="0.35">
      <c r="A13" s="52">
        <v>5</v>
      </c>
      <c r="B13" s="52">
        <v>12</v>
      </c>
      <c r="C13" s="52">
        <v>1</v>
      </c>
      <c r="D13" s="52">
        <v>1</v>
      </c>
      <c r="E13" s="51" t="s">
        <v>191</v>
      </c>
      <c r="F13" s="55">
        <v>0.17</v>
      </c>
      <c r="G13" s="53">
        <v>1057</v>
      </c>
      <c r="H13" s="76">
        <f t="shared" si="9"/>
        <v>179.69000000000003</v>
      </c>
      <c r="I13" s="77">
        <v>386</v>
      </c>
      <c r="J13" s="58">
        <f t="shared" si="10"/>
        <v>65.62</v>
      </c>
      <c r="K13" s="57"/>
      <c r="L13" s="58">
        <f t="shared" si="11"/>
        <v>0</v>
      </c>
      <c r="M13" s="77">
        <v>979</v>
      </c>
      <c r="N13" s="58">
        <f t="shared" si="12"/>
        <v>166.43</v>
      </c>
      <c r="O13" s="77">
        <v>1057</v>
      </c>
      <c r="P13" s="58">
        <f t="shared" si="13"/>
        <v>179.69000000000003</v>
      </c>
      <c r="Q13" s="77">
        <v>860</v>
      </c>
      <c r="R13" s="58">
        <f t="shared" si="14"/>
        <v>146.20000000000002</v>
      </c>
      <c r="S13" s="77">
        <v>1263</v>
      </c>
      <c r="T13" s="58">
        <f t="shared" si="15"/>
        <v>214.71</v>
      </c>
      <c r="U13" s="57">
        <v>748</v>
      </c>
      <c r="V13" s="58">
        <f t="shared" si="16"/>
        <v>127.16000000000001</v>
      </c>
      <c r="W13" s="77">
        <v>838</v>
      </c>
      <c r="X13" s="58">
        <f t="shared" si="17"/>
        <v>142.46</v>
      </c>
      <c r="Y13" s="57">
        <v>796</v>
      </c>
      <c r="Z13" s="58">
        <f t="shared" si="18"/>
        <v>135.32000000000002</v>
      </c>
      <c r="AA13" s="57">
        <v>449</v>
      </c>
      <c r="AB13" s="58">
        <f t="shared" si="19"/>
        <v>76.330000000000013</v>
      </c>
      <c r="AC13" s="57">
        <v>405</v>
      </c>
      <c r="AD13" s="58">
        <f t="shared" si="20"/>
        <v>68.850000000000009</v>
      </c>
      <c r="AE13" s="57">
        <v>330</v>
      </c>
      <c r="AF13" s="58">
        <f t="shared" si="21"/>
        <v>56.1</v>
      </c>
      <c r="AG13" s="57">
        <v>440</v>
      </c>
      <c r="AH13" s="58">
        <f t="shared" si="22"/>
        <v>74.800000000000011</v>
      </c>
      <c r="AI13" s="61">
        <v>421</v>
      </c>
      <c r="AJ13" s="58">
        <f t="shared" si="23"/>
        <v>71.570000000000007</v>
      </c>
      <c r="AK13" s="61">
        <v>414</v>
      </c>
      <c r="AL13" s="58">
        <f t="shared" si="24"/>
        <v>70.38000000000001</v>
      </c>
      <c r="AM13" s="61">
        <v>377</v>
      </c>
      <c r="AN13" s="58">
        <f t="shared" si="25"/>
        <v>64.09</v>
      </c>
      <c r="AO13" s="61">
        <v>391</v>
      </c>
      <c r="AP13" s="58">
        <f t="shared" si="26"/>
        <v>66.47</v>
      </c>
      <c r="AQ13" s="61">
        <v>335</v>
      </c>
      <c r="AR13" s="58">
        <f t="shared" si="27"/>
        <v>56.95</v>
      </c>
      <c r="AS13" s="57">
        <v>304</v>
      </c>
      <c r="AT13" s="58">
        <f t="shared" si="28"/>
        <v>51.680000000000007</v>
      </c>
      <c r="AU13" s="57">
        <v>243</v>
      </c>
      <c r="AV13" s="58">
        <f t="shared" si="29"/>
        <v>41.31</v>
      </c>
      <c r="AW13" s="57">
        <v>296</v>
      </c>
      <c r="AX13" s="58">
        <f t="shared" si="30"/>
        <v>50.32</v>
      </c>
      <c r="AY13" s="57">
        <v>281</v>
      </c>
      <c r="AZ13" s="58">
        <f t="shared" si="31"/>
        <v>47.77</v>
      </c>
      <c r="BA13" s="57">
        <v>280</v>
      </c>
      <c r="BB13" s="58">
        <f t="shared" si="32"/>
        <v>47.6</v>
      </c>
      <c r="BC13" s="57">
        <v>380</v>
      </c>
      <c r="BD13" s="58">
        <f t="shared" si="33"/>
        <v>64.600000000000009</v>
      </c>
      <c r="BE13" s="61">
        <v>373</v>
      </c>
      <c r="BF13" s="58">
        <f t="shared" si="34"/>
        <v>63.410000000000004</v>
      </c>
      <c r="BG13" s="61">
        <v>346</v>
      </c>
      <c r="BH13" s="58">
        <f t="shared" si="35"/>
        <v>58.820000000000007</v>
      </c>
      <c r="BI13" s="57">
        <v>301</v>
      </c>
      <c r="BJ13" s="58">
        <f t="shared" si="36"/>
        <v>51.17</v>
      </c>
      <c r="BK13" s="62">
        <f t="shared" si="37"/>
        <v>386</v>
      </c>
      <c r="BL13" s="63">
        <f t="shared" si="37"/>
        <v>65.62</v>
      </c>
      <c r="BO13" s="78">
        <v>17</v>
      </c>
      <c r="BP13" s="78">
        <v>4</v>
      </c>
      <c r="BQ13" s="78">
        <v>17.04</v>
      </c>
      <c r="BR13" s="34" t="s">
        <v>179</v>
      </c>
      <c r="BS13" s="65" t="s">
        <v>191</v>
      </c>
      <c r="BT13" s="65" t="s">
        <v>187</v>
      </c>
      <c r="BU13" s="37" t="s">
        <v>175</v>
      </c>
      <c r="BV13" s="66">
        <f t="shared" si="5"/>
        <v>56290.767200000002</v>
      </c>
      <c r="BW13" s="66">
        <f t="shared" si="1"/>
        <v>6021.9642486354851</v>
      </c>
      <c r="BX13" s="66">
        <f t="shared" si="2"/>
        <v>10.697960870278358</v>
      </c>
      <c r="BY13" s="67"/>
      <c r="BZ13" s="68">
        <v>12</v>
      </c>
      <c r="CA13" s="74" t="s">
        <v>12</v>
      </c>
      <c r="CB13" s="69">
        <f t="shared" si="6"/>
        <v>0</v>
      </c>
      <c r="CC13" s="69">
        <f t="shared" si="7"/>
        <v>0</v>
      </c>
      <c r="CD13" s="70"/>
      <c r="CE13" s="71"/>
      <c r="CF13" s="71"/>
      <c r="CG13" s="71">
        <v>12</v>
      </c>
      <c r="CH13" s="71" t="str">
        <f t="shared" si="3"/>
        <v/>
      </c>
      <c r="CI13" s="71" t="str">
        <f t="shared" si="3"/>
        <v/>
      </c>
      <c r="CJ13" s="71" t="str">
        <f t="shared" si="3"/>
        <v/>
      </c>
      <c r="CK13" s="71" t="str">
        <f t="shared" si="3"/>
        <v/>
      </c>
      <c r="CL13" s="71" t="str">
        <f t="shared" si="3"/>
        <v/>
      </c>
      <c r="CM13" s="71" t="str">
        <f t="shared" si="3"/>
        <v/>
      </c>
      <c r="CN13" s="71" t="str">
        <f t="shared" si="3"/>
        <v/>
      </c>
      <c r="CO13" s="71" t="str">
        <f t="shared" si="3"/>
        <v/>
      </c>
      <c r="CP13" s="71" t="str">
        <f t="shared" si="3"/>
        <v/>
      </c>
      <c r="CQ13" s="71" t="str">
        <f t="shared" si="3"/>
        <v/>
      </c>
      <c r="CR13" s="71"/>
      <c r="CS13" s="71">
        <v>12</v>
      </c>
      <c r="CT13" s="71" t="str">
        <f t="shared" si="4"/>
        <v/>
      </c>
      <c r="CU13" s="71" t="str">
        <f t="shared" si="4"/>
        <v/>
      </c>
      <c r="CV13" s="71" t="str">
        <f t="shared" si="4"/>
        <v/>
      </c>
      <c r="CW13" s="71" t="str">
        <f t="shared" si="4"/>
        <v/>
      </c>
      <c r="CX13" s="71" t="str">
        <f t="shared" si="4"/>
        <v/>
      </c>
      <c r="CY13" s="71" t="str">
        <f t="shared" si="4"/>
        <v/>
      </c>
      <c r="CZ13" s="71" t="str">
        <f t="shared" si="4"/>
        <v/>
      </c>
      <c r="DA13" s="71" t="str">
        <f t="shared" si="4"/>
        <v/>
      </c>
      <c r="DB13" s="71" t="str">
        <f t="shared" si="4"/>
        <v/>
      </c>
      <c r="DC13" s="72" t="str">
        <f t="shared" si="4"/>
        <v/>
      </c>
    </row>
    <row r="14" spans="1:107" x14ac:dyDescent="0.35">
      <c r="A14" s="52">
        <v>6</v>
      </c>
      <c r="B14" s="52">
        <v>13</v>
      </c>
      <c r="C14" s="52">
        <v>1</v>
      </c>
      <c r="D14" s="52">
        <v>1</v>
      </c>
      <c r="E14" s="51" t="s">
        <v>192</v>
      </c>
      <c r="F14" s="55">
        <v>0.17</v>
      </c>
      <c r="G14" s="53">
        <v>550</v>
      </c>
      <c r="H14" s="76">
        <f t="shared" si="9"/>
        <v>93.5</v>
      </c>
      <c r="I14" s="77">
        <v>201</v>
      </c>
      <c r="J14" s="58">
        <f t="shared" si="10"/>
        <v>34.17</v>
      </c>
      <c r="K14" s="57"/>
      <c r="L14" s="58">
        <f t="shared" si="11"/>
        <v>0</v>
      </c>
      <c r="M14" s="77">
        <v>607</v>
      </c>
      <c r="N14" s="58">
        <f t="shared" si="12"/>
        <v>103.19000000000001</v>
      </c>
      <c r="O14" s="77">
        <v>233</v>
      </c>
      <c r="P14" s="58">
        <f t="shared" si="13"/>
        <v>39.61</v>
      </c>
      <c r="Q14" s="77">
        <v>785</v>
      </c>
      <c r="R14" s="58">
        <f t="shared" si="14"/>
        <v>133.45000000000002</v>
      </c>
      <c r="S14" s="77">
        <v>715</v>
      </c>
      <c r="T14" s="58">
        <f t="shared" si="15"/>
        <v>121.55000000000001</v>
      </c>
      <c r="U14" s="57">
        <v>835</v>
      </c>
      <c r="V14" s="58">
        <f t="shared" si="16"/>
        <v>141.95000000000002</v>
      </c>
      <c r="W14" s="77">
        <v>771</v>
      </c>
      <c r="X14" s="58">
        <f t="shared" si="17"/>
        <v>131.07000000000002</v>
      </c>
      <c r="Y14" s="57">
        <v>734</v>
      </c>
      <c r="Z14" s="58">
        <f t="shared" si="18"/>
        <v>124.78000000000002</v>
      </c>
      <c r="AA14" s="57">
        <v>758</v>
      </c>
      <c r="AB14" s="58">
        <f t="shared" si="19"/>
        <v>128.86000000000001</v>
      </c>
      <c r="AC14" s="57">
        <v>983</v>
      </c>
      <c r="AD14" s="58">
        <f t="shared" si="20"/>
        <v>167.11</v>
      </c>
      <c r="AE14" s="57">
        <v>768</v>
      </c>
      <c r="AF14" s="58">
        <f t="shared" si="21"/>
        <v>130.56</v>
      </c>
      <c r="AG14" s="57">
        <v>748</v>
      </c>
      <c r="AH14" s="58">
        <f t="shared" si="22"/>
        <v>127.16000000000001</v>
      </c>
      <c r="AI14" s="61">
        <v>829</v>
      </c>
      <c r="AJ14" s="58">
        <f t="shared" si="23"/>
        <v>140.93</v>
      </c>
      <c r="AK14" s="61">
        <v>684</v>
      </c>
      <c r="AL14" s="58">
        <f t="shared" si="24"/>
        <v>116.28000000000002</v>
      </c>
      <c r="AM14" s="61">
        <v>673</v>
      </c>
      <c r="AN14" s="58">
        <f t="shared" si="25"/>
        <v>114.41000000000001</v>
      </c>
      <c r="AO14" s="61">
        <v>612</v>
      </c>
      <c r="AP14" s="58">
        <f t="shared" si="26"/>
        <v>104.04</v>
      </c>
      <c r="AQ14" s="61">
        <v>481</v>
      </c>
      <c r="AR14" s="58">
        <f t="shared" si="27"/>
        <v>81.77000000000001</v>
      </c>
      <c r="AS14" s="57">
        <v>470</v>
      </c>
      <c r="AT14" s="58">
        <f t="shared" si="28"/>
        <v>79.900000000000006</v>
      </c>
      <c r="AU14" s="57">
        <v>457</v>
      </c>
      <c r="AV14" s="58">
        <f t="shared" si="29"/>
        <v>77.690000000000012</v>
      </c>
      <c r="AW14" s="57">
        <v>535</v>
      </c>
      <c r="AX14" s="58">
        <f t="shared" si="30"/>
        <v>90.95</v>
      </c>
      <c r="AY14" s="57">
        <v>562</v>
      </c>
      <c r="AZ14" s="58">
        <f t="shared" si="31"/>
        <v>95.54</v>
      </c>
      <c r="BA14" s="57">
        <v>452</v>
      </c>
      <c r="BB14" s="58">
        <f t="shared" si="32"/>
        <v>76.84</v>
      </c>
      <c r="BC14" s="57">
        <v>512</v>
      </c>
      <c r="BD14" s="58">
        <f t="shared" si="33"/>
        <v>87.04</v>
      </c>
      <c r="BE14" s="61">
        <v>515</v>
      </c>
      <c r="BF14" s="58">
        <f t="shared" si="34"/>
        <v>87.550000000000011</v>
      </c>
      <c r="BG14" s="61">
        <v>507</v>
      </c>
      <c r="BH14" s="58">
        <f t="shared" si="35"/>
        <v>86.190000000000012</v>
      </c>
      <c r="BI14" s="57">
        <v>535</v>
      </c>
      <c r="BJ14" s="58">
        <f t="shared" si="36"/>
        <v>90.95</v>
      </c>
      <c r="BK14" s="62">
        <f t="shared" si="37"/>
        <v>201</v>
      </c>
      <c r="BL14" s="63">
        <f t="shared" si="37"/>
        <v>34.17</v>
      </c>
      <c r="BO14" s="78">
        <v>17</v>
      </c>
      <c r="BP14" s="78">
        <v>5</v>
      </c>
      <c r="BQ14" s="78">
        <v>17.05</v>
      </c>
      <c r="BR14" s="34" t="s">
        <v>179</v>
      </c>
      <c r="BS14" s="65" t="s">
        <v>192</v>
      </c>
      <c r="BT14" s="65" t="s">
        <v>187</v>
      </c>
      <c r="BU14" s="37" t="s">
        <v>175</v>
      </c>
      <c r="BV14" s="66">
        <f t="shared" si="5"/>
        <v>85926.200519999999</v>
      </c>
      <c r="BW14" s="66">
        <f t="shared" si="1"/>
        <v>2387.755852644782</v>
      </c>
      <c r="BX14" s="66">
        <f t="shared" si="2"/>
        <v>2.7788449136523998</v>
      </c>
      <c r="BY14" s="67"/>
      <c r="BZ14" s="68">
        <v>13</v>
      </c>
      <c r="CA14" s="74" t="s">
        <v>13</v>
      </c>
      <c r="CB14" s="69">
        <f t="shared" si="6"/>
        <v>0</v>
      </c>
      <c r="CC14" s="69">
        <f t="shared" si="7"/>
        <v>0</v>
      </c>
      <c r="CD14" s="70"/>
      <c r="CE14" s="71"/>
      <c r="CF14" s="71"/>
      <c r="CG14" s="71">
        <v>13</v>
      </c>
      <c r="CH14" s="71" t="str">
        <f t="shared" si="3"/>
        <v/>
      </c>
      <c r="CI14" s="71" t="str">
        <f t="shared" si="3"/>
        <v/>
      </c>
      <c r="CJ14" s="71" t="str">
        <f t="shared" si="3"/>
        <v/>
      </c>
      <c r="CK14" s="71" t="str">
        <f t="shared" si="3"/>
        <v/>
      </c>
      <c r="CL14" s="71" t="str">
        <f t="shared" si="3"/>
        <v/>
      </c>
      <c r="CM14" s="71" t="str">
        <f t="shared" si="3"/>
        <v/>
      </c>
      <c r="CN14" s="71" t="str">
        <f t="shared" si="3"/>
        <v/>
      </c>
      <c r="CO14" s="71" t="str">
        <f t="shared" si="3"/>
        <v/>
      </c>
      <c r="CP14" s="71" t="str">
        <f t="shared" si="3"/>
        <v/>
      </c>
      <c r="CQ14" s="71" t="str">
        <f t="shared" si="3"/>
        <v/>
      </c>
      <c r="CR14" s="71"/>
      <c r="CS14" s="71">
        <v>13</v>
      </c>
      <c r="CT14" s="71" t="str">
        <f t="shared" si="4"/>
        <v/>
      </c>
      <c r="CU14" s="71" t="str">
        <f t="shared" si="4"/>
        <v/>
      </c>
      <c r="CV14" s="71" t="str">
        <f t="shared" si="4"/>
        <v/>
      </c>
      <c r="CW14" s="71" t="str">
        <f t="shared" si="4"/>
        <v/>
      </c>
      <c r="CX14" s="71" t="str">
        <f t="shared" si="4"/>
        <v/>
      </c>
      <c r="CY14" s="71" t="str">
        <f t="shared" si="4"/>
        <v/>
      </c>
      <c r="CZ14" s="71" t="str">
        <f t="shared" si="4"/>
        <v/>
      </c>
      <c r="DA14" s="71" t="str">
        <f t="shared" si="4"/>
        <v/>
      </c>
      <c r="DB14" s="71" t="str">
        <f t="shared" si="4"/>
        <v/>
      </c>
      <c r="DC14" s="72" t="str">
        <f t="shared" si="4"/>
        <v/>
      </c>
    </row>
    <row r="15" spans="1:107" x14ac:dyDescent="0.35">
      <c r="A15" s="52">
        <v>9</v>
      </c>
      <c r="B15" s="52">
        <v>14</v>
      </c>
      <c r="C15" s="52">
        <v>1</v>
      </c>
      <c r="D15" s="52">
        <v>1</v>
      </c>
      <c r="E15" s="51" t="s">
        <v>193</v>
      </c>
      <c r="F15" s="55">
        <v>0.17</v>
      </c>
      <c r="G15" s="53">
        <v>2900</v>
      </c>
      <c r="H15" s="76">
        <f t="shared" si="9"/>
        <v>493.00000000000006</v>
      </c>
      <c r="I15" s="77">
        <v>1059</v>
      </c>
      <c r="J15" s="58">
        <f t="shared" si="10"/>
        <v>180.03</v>
      </c>
      <c r="K15" s="57"/>
      <c r="L15" s="58">
        <f t="shared" si="11"/>
        <v>0</v>
      </c>
      <c r="M15" s="77">
        <v>926</v>
      </c>
      <c r="N15" s="58">
        <f t="shared" si="12"/>
        <v>157.42000000000002</v>
      </c>
      <c r="O15" s="77">
        <v>510</v>
      </c>
      <c r="P15" s="58">
        <f t="shared" si="13"/>
        <v>86.7</v>
      </c>
      <c r="Q15" s="77">
        <v>203</v>
      </c>
      <c r="R15" s="58">
        <f t="shared" si="14"/>
        <v>34.510000000000005</v>
      </c>
      <c r="S15" s="77">
        <v>211</v>
      </c>
      <c r="T15" s="58">
        <f t="shared" si="15"/>
        <v>35.870000000000005</v>
      </c>
      <c r="U15" s="57">
        <v>160</v>
      </c>
      <c r="V15" s="58">
        <f t="shared" si="16"/>
        <v>27.200000000000003</v>
      </c>
      <c r="W15" s="77">
        <v>146</v>
      </c>
      <c r="X15" s="58">
        <f t="shared" si="17"/>
        <v>24.82</v>
      </c>
      <c r="Y15" s="57">
        <v>115</v>
      </c>
      <c r="Z15" s="58">
        <f t="shared" si="18"/>
        <v>19.55</v>
      </c>
      <c r="AA15" s="57">
        <v>128</v>
      </c>
      <c r="AB15" s="58">
        <f t="shared" si="19"/>
        <v>21.76</v>
      </c>
      <c r="AC15" s="57">
        <v>154</v>
      </c>
      <c r="AD15" s="58">
        <f t="shared" si="20"/>
        <v>26.180000000000003</v>
      </c>
      <c r="AE15" s="57">
        <v>84</v>
      </c>
      <c r="AF15" s="58">
        <f t="shared" si="21"/>
        <v>14.280000000000001</v>
      </c>
      <c r="AG15" s="57">
        <v>72</v>
      </c>
      <c r="AH15" s="58">
        <f t="shared" si="22"/>
        <v>12.24</v>
      </c>
      <c r="AI15" s="61">
        <v>82</v>
      </c>
      <c r="AJ15" s="58">
        <f t="shared" si="23"/>
        <v>13.940000000000001</v>
      </c>
      <c r="AK15" s="61">
        <v>92</v>
      </c>
      <c r="AL15" s="58">
        <f t="shared" si="24"/>
        <v>15.64</v>
      </c>
      <c r="AM15" s="61">
        <v>8</v>
      </c>
      <c r="AN15" s="58">
        <f t="shared" si="25"/>
        <v>1.36</v>
      </c>
      <c r="AO15" s="61">
        <v>0</v>
      </c>
      <c r="AP15" s="58">
        <f t="shared" si="26"/>
        <v>0</v>
      </c>
      <c r="AQ15" s="61">
        <v>0</v>
      </c>
      <c r="AR15" s="58">
        <f t="shared" si="27"/>
        <v>0</v>
      </c>
      <c r="AS15" s="57">
        <v>30</v>
      </c>
      <c r="AT15" s="58">
        <f t="shared" si="28"/>
        <v>5.1000000000000005</v>
      </c>
      <c r="AU15" s="57">
        <v>11</v>
      </c>
      <c r="AV15" s="58">
        <f t="shared" si="29"/>
        <v>1.87</v>
      </c>
      <c r="AW15" s="57">
        <v>4.5</v>
      </c>
      <c r="AX15" s="58">
        <f t="shared" si="30"/>
        <v>0.76500000000000001</v>
      </c>
      <c r="AY15" s="57">
        <v>0</v>
      </c>
      <c r="AZ15" s="58">
        <f t="shared" si="31"/>
        <v>0</v>
      </c>
      <c r="BA15" s="57">
        <v>0</v>
      </c>
      <c r="BB15" s="58">
        <f t="shared" si="32"/>
        <v>0</v>
      </c>
      <c r="BC15" s="57">
        <v>0</v>
      </c>
      <c r="BD15" s="58">
        <f t="shared" si="33"/>
        <v>0</v>
      </c>
      <c r="BE15" s="57">
        <v>0</v>
      </c>
      <c r="BF15" s="58">
        <f t="shared" si="34"/>
        <v>0</v>
      </c>
      <c r="BG15" s="57">
        <v>0</v>
      </c>
      <c r="BH15" s="58">
        <f t="shared" si="35"/>
        <v>0</v>
      </c>
      <c r="BI15" s="57">
        <v>0</v>
      </c>
      <c r="BJ15" s="58">
        <f t="shared" si="36"/>
        <v>0</v>
      </c>
      <c r="BK15" s="62">
        <f t="shared" si="37"/>
        <v>1059</v>
      </c>
      <c r="BL15" s="63">
        <f t="shared" si="37"/>
        <v>180.03</v>
      </c>
      <c r="BO15" s="78">
        <v>17</v>
      </c>
      <c r="BP15" s="78">
        <v>6</v>
      </c>
      <c r="BQ15" s="78">
        <v>17.059999999999999</v>
      </c>
      <c r="BR15" s="34" t="s">
        <v>179</v>
      </c>
      <c r="BS15" s="65" t="s">
        <v>193</v>
      </c>
      <c r="BT15" s="65" t="s">
        <v>187</v>
      </c>
      <c r="BU15" s="37" t="s">
        <v>175</v>
      </c>
      <c r="BV15" s="66">
        <f t="shared" si="5"/>
        <v>0</v>
      </c>
      <c r="BW15" s="66">
        <f t="shared" si="1"/>
        <v>0</v>
      </c>
      <c r="BX15" s="66" t="str">
        <f t="shared" si="2"/>
        <v/>
      </c>
      <c r="BY15" s="67"/>
      <c r="BZ15" s="68">
        <v>14</v>
      </c>
      <c r="CA15" s="74" t="s">
        <v>14</v>
      </c>
      <c r="CB15" s="69">
        <f t="shared" si="6"/>
        <v>0</v>
      </c>
      <c r="CC15" s="69">
        <f t="shared" si="7"/>
        <v>0</v>
      </c>
      <c r="CD15" s="70"/>
      <c r="CE15" s="71"/>
      <c r="CF15" s="71"/>
      <c r="CG15" s="71">
        <v>14</v>
      </c>
      <c r="CH15" s="71" t="str">
        <f t="shared" si="3"/>
        <v/>
      </c>
      <c r="CI15" s="71" t="str">
        <f t="shared" si="3"/>
        <v/>
      </c>
      <c r="CJ15" s="71" t="str">
        <f t="shared" si="3"/>
        <v/>
      </c>
      <c r="CK15" s="71" t="str">
        <f t="shared" si="3"/>
        <v/>
      </c>
      <c r="CL15" s="71" t="str">
        <f t="shared" si="3"/>
        <v/>
      </c>
      <c r="CM15" s="71" t="str">
        <f t="shared" si="3"/>
        <v/>
      </c>
      <c r="CN15" s="71" t="str">
        <f t="shared" si="3"/>
        <v/>
      </c>
      <c r="CO15" s="71" t="str">
        <f t="shared" si="3"/>
        <v/>
      </c>
      <c r="CP15" s="71" t="str">
        <f t="shared" si="3"/>
        <v/>
      </c>
      <c r="CQ15" s="71" t="str">
        <f t="shared" si="3"/>
        <v/>
      </c>
      <c r="CR15" s="71"/>
      <c r="CS15" s="71">
        <v>14</v>
      </c>
      <c r="CT15" s="71" t="str">
        <f t="shared" si="4"/>
        <v/>
      </c>
      <c r="CU15" s="71" t="str">
        <f t="shared" si="4"/>
        <v/>
      </c>
      <c r="CV15" s="71" t="str">
        <f t="shared" si="4"/>
        <v/>
      </c>
      <c r="CW15" s="71" t="str">
        <f t="shared" si="4"/>
        <v/>
      </c>
      <c r="CX15" s="71" t="str">
        <f t="shared" si="4"/>
        <v/>
      </c>
      <c r="CY15" s="71" t="str">
        <f t="shared" si="4"/>
        <v/>
      </c>
      <c r="CZ15" s="71" t="str">
        <f t="shared" si="4"/>
        <v/>
      </c>
      <c r="DA15" s="71" t="str">
        <f t="shared" si="4"/>
        <v/>
      </c>
      <c r="DB15" s="71" t="str">
        <f t="shared" si="4"/>
        <v/>
      </c>
      <c r="DC15" s="72" t="str">
        <f t="shared" si="4"/>
        <v/>
      </c>
    </row>
    <row r="16" spans="1:107" x14ac:dyDescent="0.35">
      <c r="A16" s="52">
        <v>10</v>
      </c>
      <c r="B16" s="52">
        <v>15</v>
      </c>
      <c r="C16" s="52">
        <v>1</v>
      </c>
      <c r="D16" s="52">
        <v>2</v>
      </c>
      <c r="E16" s="51" t="s">
        <v>194</v>
      </c>
      <c r="F16" s="55">
        <v>0.15</v>
      </c>
      <c r="G16" s="53">
        <v>42</v>
      </c>
      <c r="H16" s="76">
        <f t="shared" si="9"/>
        <v>6.3</v>
      </c>
      <c r="I16" s="77">
        <v>15</v>
      </c>
      <c r="J16" s="58">
        <f t="shared" si="10"/>
        <v>2.25</v>
      </c>
      <c r="K16" s="57"/>
      <c r="L16" s="58">
        <f t="shared" si="11"/>
        <v>0</v>
      </c>
      <c r="M16" s="77">
        <v>68</v>
      </c>
      <c r="N16" s="58">
        <f t="shared" si="12"/>
        <v>10.199999999999999</v>
      </c>
      <c r="O16" s="77">
        <v>68</v>
      </c>
      <c r="P16" s="58">
        <f t="shared" si="13"/>
        <v>10.199999999999999</v>
      </c>
      <c r="Q16" s="77">
        <v>68</v>
      </c>
      <c r="R16" s="58">
        <f t="shared" si="14"/>
        <v>10.199999999999999</v>
      </c>
      <c r="S16" s="77">
        <v>68</v>
      </c>
      <c r="T16" s="58">
        <f t="shared" si="15"/>
        <v>10.199999999999999</v>
      </c>
      <c r="U16" s="57">
        <v>68</v>
      </c>
      <c r="V16" s="58">
        <f t="shared" si="16"/>
        <v>10.199999999999999</v>
      </c>
      <c r="W16" s="77">
        <v>31</v>
      </c>
      <c r="X16" s="58">
        <f t="shared" si="17"/>
        <v>4.6499999999999995</v>
      </c>
      <c r="Y16" s="57">
        <v>31</v>
      </c>
      <c r="Z16" s="58">
        <f t="shared" si="18"/>
        <v>4.6499999999999995</v>
      </c>
      <c r="AA16" s="57">
        <v>36</v>
      </c>
      <c r="AB16" s="58">
        <f t="shared" si="19"/>
        <v>5.3999999999999995</v>
      </c>
      <c r="AC16" s="57">
        <v>39</v>
      </c>
      <c r="AD16" s="58">
        <f t="shared" si="20"/>
        <v>5.85</v>
      </c>
      <c r="AE16" s="57">
        <v>38</v>
      </c>
      <c r="AF16" s="58">
        <f t="shared" si="21"/>
        <v>5.7</v>
      </c>
      <c r="AG16" s="57">
        <v>13</v>
      </c>
      <c r="AH16" s="58">
        <f t="shared" si="22"/>
        <v>1.95</v>
      </c>
      <c r="AI16" s="61">
        <v>10</v>
      </c>
      <c r="AJ16" s="58">
        <f t="shared" si="23"/>
        <v>1.5</v>
      </c>
      <c r="AK16" s="61">
        <v>11</v>
      </c>
      <c r="AL16" s="58">
        <f t="shared" si="24"/>
        <v>1.65</v>
      </c>
      <c r="AM16" s="61">
        <v>13</v>
      </c>
      <c r="AN16" s="58">
        <f t="shared" si="25"/>
        <v>1.95</v>
      </c>
      <c r="AO16" s="61">
        <v>8</v>
      </c>
      <c r="AP16" s="58">
        <f t="shared" si="26"/>
        <v>1.2</v>
      </c>
      <c r="AQ16" s="61">
        <v>6</v>
      </c>
      <c r="AR16" s="58">
        <f t="shared" si="27"/>
        <v>0.89999999999999991</v>
      </c>
      <c r="AS16" s="57">
        <v>6</v>
      </c>
      <c r="AT16" s="58">
        <f t="shared" si="28"/>
        <v>0.89999999999999991</v>
      </c>
      <c r="AU16" s="57">
        <v>5</v>
      </c>
      <c r="AV16" s="58">
        <f t="shared" si="29"/>
        <v>0.75</v>
      </c>
      <c r="AW16" s="57">
        <v>11</v>
      </c>
      <c r="AX16" s="58">
        <f t="shared" si="30"/>
        <v>1.65</v>
      </c>
      <c r="AY16" s="57">
        <v>7</v>
      </c>
      <c r="AZ16" s="58">
        <f t="shared" si="31"/>
        <v>1.05</v>
      </c>
      <c r="BA16" s="57">
        <v>9</v>
      </c>
      <c r="BB16" s="58">
        <f t="shared" si="32"/>
        <v>1.3499999999999999</v>
      </c>
      <c r="BC16" s="57">
        <v>7</v>
      </c>
      <c r="BD16" s="58">
        <f t="shared" si="33"/>
        <v>1.05</v>
      </c>
      <c r="BE16" s="61">
        <v>14</v>
      </c>
      <c r="BF16" s="58">
        <f t="shared" si="34"/>
        <v>2.1</v>
      </c>
      <c r="BG16" s="61">
        <v>7</v>
      </c>
      <c r="BH16" s="58">
        <f t="shared" si="35"/>
        <v>1.05</v>
      </c>
      <c r="BI16" s="57">
        <v>12</v>
      </c>
      <c r="BJ16" s="58">
        <f t="shared" si="36"/>
        <v>1.7999999999999998</v>
      </c>
      <c r="BK16" s="62">
        <f t="shared" si="37"/>
        <v>15</v>
      </c>
      <c r="BL16" s="63">
        <f t="shared" si="37"/>
        <v>2.25</v>
      </c>
      <c r="BO16" s="64">
        <v>17</v>
      </c>
      <c r="BP16" s="64">
        <v>7</v>
      </c>
      <c r="BQ16" s="64">
        <v>17.07</v>
      </c>
      <c r="BR16" s="34" t="s">
        <v>179</v>
      </c>
      <c r="BS16" s="65" t="s">
        <v>194</v>
      </c>
      <c r="BT16" s="65" t="s">
        <v>195</v>
      </c>
      <c r="BU16" s="37" t="s">
        <v>175</v>
      </c>
      <c r="BV16" s="66">
        <f t="shared" si="5"/>
        <v>1821.1718799999999</v>
      </c>
      <c r="BW16" s="66">
        <f t="shared" si="1"/>
        <v>596.93896316119549</v>
      </c>
      <c r="BX16" s="66">
        <f t="shared" si="2"/>
        <v>32.777738867854445</v>
      </c>
      <c r="BY16" s="67"/>
      <c r="BZ16" s="68">
        <v>15</v>
      </c>
      <c r="CA16" s="74" t="s">
        <v>15</v>
      </c>
      <c r="CB16" s="69">
        <f t="shared" si="6"/>
        <v>0</v>
      </c>
      <c r="CC16" s="69">
        <f t="shared" si="7"/>
        <v>0</v>
      </c>
      <c r="CD16" s="70"/>
      <c r="CE16" s="71"/>
      <c r="CF16" s="71"/>
      <c r="CG16" s="71">
        <v>15</v>
      </c>
      <c r="CH16" s="71" t="str">
        <f t="shared" si="3"/>
        <v/>
      </c>
      <c r="CI16" s="71" t="str">
        <f t="shared" si="3"/>
        <v/>
      </c>
      <c r="CJ16" s="71" t="str">
        <f t="shared" si="3"/>
        <v/>
      </c>
      <c r="CK16" s="71" t="str">
        <f t="shared" si="3"/>
        <v/>
      </c>
      <c r="CL16" s="71" t="str">
        <f t="shared" si="3"/>
        <v/>
      </c>
      <c r="CM16" s="71" t="str">
        <f t="shared" si="3"/>
        <v/>
      </c>
      <c r="CN16" s="71" t="str">
        <f t="shared" si="3"/>
        <v/>
      </c>
      <c r="CO16" s="71" t="str">
        <f t="shared" si="3"/>
        <v/>
      </c>
      <c r="CP16" s="71" t="str">
        <f t="shared" si="3"/>
        <v/>
      </c>
      <c r="CQ16" s="71" t="str">
        <f t="shared" si="3"/>
        <v/>
      </c>
      <c r="CR16" s="71"/>
      <c r="CS16" s="71">
        <v>15</v>
      </c>
      <c r="CT16" s="71" t="str">
        <f t="shared" si="4"/>
        <v/>
      </c>
      <c r="CU16" s="71" t="str">
        <f t="shared" si="4"/>
        <v/>
      </c>
      <c r="CV16" s="71" t="str">
        <f t="shared" si="4"/>
        <v/>
      </c>
      <c r="CW16" s="71" t="str">
        <f t="shared" si="4"/>
        <v/>
      </c>
      <c r="CX16" s="71" t="str">
        <f t="shared" si="4"/>
        <v/>
      </c>
      <c r="CY16" s="71" t="str">
        <f t="shared" si="4"/>
        <v/>
      </c>
      <c r="CZ16" s="71" t="str">
        <f t="shared" si="4"/>
        <v/>
      </c>
      <c r="DA16" s="71" t="str">
        <f t="shared" si="4"/>
        <v/>
      </c>
      <c r="DB16" s="71" t="str">
        <f t="shared" si="4"/>
        <v/>
      </c>
      <c r="DC16" s="72" t="str">
        <f t="shared" si="4"/>
        <v/>
      </c>
    </row>
    <row r="17" spans="1:107" ht="15" thickBot="1" x14ac:dyDescent="0.4">
      <c r="A17" s="52">
        <v>12</v>
      </c>
      <c r="B17" s="52">
        <v>16</v>
      </c>
      <c r="C17" s="52">
        <v>1</v>
      </c>
      <c r="D17" s="52">
        <v>2</v>
      </c>
      <c r="E17" s="51" t="s">
        <v>196</v>
      </c>
      <c r="F17" s="55">
        <v>0.15</v>
      </c>
      <c r="G17" s="53">
        <v>20</v>
      </c>
      <c r="H17" s="76">
        <f t="shared" si="9"/>
        <v>3</v>
      </c>
      <c r="I17" s="77">
        <v>7</v>
      </c>
      <c r="J17" s="58">
        <f t="shared" si="10"/>
        <v>1.05</v>
      </c>
      <c r="K17" s="57"/>
      <c r="L17" s="58">
        <f t="shared" si="11"/>
        <v>0</v>
      </c>
      <c r="M17" s="77">
        <v>22</v>
      </c>
      <c r="N17" s="58">
        <f t="shared" si="12"/>
        <v>3.3</v>
      </c>
      <c r="O17" s="77">
        <v>22</v>
      </c>
      <c r="P17" s="58">
        <f t="shared" si="13"/>
        <v>3.3</v>
      </c>
      <c r="Q17" s="77">
        <v>22</v>
      </c>
      <c r="R17" s="58">
        <f t="shared" si="14"/>
        <v>3.3</v>
      </c>
      <c r="S17" s="77">
        <v>22</v>
      </c>
      <c r="T17" s="58">
        <f t="shared" si="15"/>
        <v>3.3</v>
      </c>
      <c r="U17" s="57">
        <v>22</v>
      </c>
      <c r="V17" s="58">
        <f t="shared" si="16"/>
        <v>3.3</v>
      </c>
      <c r="W17" s="77">
        <v>4</v>
      </c>
      <c r="X17" s="58">
        <f t="shared" si="17"/>
        <v>0.6</v>
      </c>
      <c r="Y17" s="57">
        <v>13</v>
      </c>
      <c r="Z17" s="58">
        <f t="shared" si="18"/>
        <v>1.95</v>
      </c>
      <c r="AA17" s="57">
        <v>15</v>
      </c>
      <c r="AB17" s="58">
        <f t="shared" si="19"/>
        <v>2.25</v>
      </c>
      <c r="AC17" s="57">
        <v>7</v>
      </c>
      <c r="AD17" s="58">
        <f t="shared" si="20"/>
        <v>1.05</v>
      </c>
      <c r="AE17" s="57">
        <v>10</v>
      </c>
      <c r="AF17" s="58">
        <f t="shared" si="21"/>
        <v>1.5</v>
      </c>
      <c r="AG17" s="57">
        <v>13</v>
      </c>
      <c r="AH17" s="58">
        <f t="shared" si="22"/>
        <v>1.95</v>
      </c>
      <c r="AI17" s="61">
        <v>22</v>
      </c>
      <c r="AJ17" s="58">
        <f t="shared" si="23"/>
        <v>3.3</v>
      </c>
      <c r="AK17" s="61">
        <v>14</v>
      </c>
      <c r="AL17" s="58">
        <f t="shared" si="24"/>
        <v>2.1</v>
      </c>
      <c r="AM17" s="61">
        <v>15</v>
      </c>
      <c r="AN17" s="58">
        <f t="shared" si="25"/>
        <v>2.25</v>
      </c>
      <c r="AO17" s="61">
        <v>21</v>
      </c>
      <c r="AP17" s="58">
        <f t="shared" si="26"/>
        <v>3.15</v>
      </c>
      <c r="AQ17" s="61">
        <v>21</v>
      </c>
      <c r="AR17" s="58">
        <f t="shared" si="27"/>
        <v>3.15</v>
      </c>
      <c r="AS17" s="57">
        <v>16</v>
      </c>
      <c r="AT17" s="58">
        <f t="shared" si="28"/>
        <v>2.4</v>
      </c>
      <c r="AU17" s="57">
        <v>7</v>
      </c>
      <c r="AV17" s="58">
        <f t="shared" si="29"/>
        <v>1.05</v>
      </c>
      <c r="AW17" s="57">
        <v>12</v>
      </c>
      <c r="AX17" s="58">
        <f t="shared" si="30"/>
        <v>1.7999999999999998</v>
      </c>
      <c r="AY17" s="57">
        <v>12</v>
      </c>
      <c r="AZ17" s="58">
        <f t="shared" si="31"/>
        <v>1.7999999999999998</v>
      </c>
      <c r="BA17" s="57">
        <v>9</v>
      </c>
      <c r="BB17" s="58">
        <f t="shared" si="32"/>
        <v>1.3499999999999999</v>
      </c>
      <c r="BC17" s="57">
        <v>10</v>
      </c>
      <c r="BD17" s="58">
        <f t="shared" si="33"/>
        <v>1.5</v>
      </c>
      <c r="BE17" s="61">
        <v>24</v>
      </c>
      <c r="BF17" s="58">
        <f t="shared" si="34"/>
        <v>3.5999999999999996</v>
      </c>
      <c r="BG17" s="61">
        <v>31</v>
      </c>
      <c r="BH17" s="58">
        <f t="shared" si="35"/>
        <v>4.6499999999999995</v>
      </c>
      <c r="BI17" s="57">
        <v>30</v>
      </c>
      <c r="BJ17" s="58">
        <f t="shared" si="36"/>
        <v>4.5</v>
      </c>
      <c r="BK17" s="62">
        <f t="shared" si="37"/>
        <v>7</v>
      </c>
      <c r="BL17" s="63">
        <f t="shared" si="37"/>
        <v>1.05</v>
      </c>
      <c r="BO17" s="64">
        <v>17</v>
      </c>
      <c r="BP17" s="64">
        <v>8</v>
      </c>
      <c r="BQ17" s="64">
        <v>17.079999999999998</v>
      </c>
      <c r="BR17" s="34" t="s">
        <v>179</v>
      </c>
      <c r="BS17" s="65" t="s">
        <v>196</v>
      </c>
      <c r="BT17" s="65" t="s">
        <v>197</v>
      </c>
      <c r="BU17" s="37" t="s">
        <v>189</v>
      </c>
      <c r="BV17" s="66">
        <f t="shared" si="5"/>
        <v>4690.8972666666659</v>
      </c>
      <c r="BW17" s="66">
        <f t="shared" si="1"/>
        <v>626.80413263446951</v>
      </c>
      <c r="BX17" s="66">
        <f t="shared" si="2"/>
        <v>13.362137284235903</v>
      </c>
      <c r="BY17" s="67"/>
      <c r="BZ17" s="68">
        <v>16</v>
      </c>
      <c r="CA17" s="82" t="s">
        <v>16</v>
      </c>
      <c r="CB17" s="83">
        <f t="shared" si="6"/>
        <v>0</v>
      </c>
      <c r="CC17" s="83">
        <f t="shared" si="7"/>
        <v>0</v>
      </c>
      <c r="CD17" s="70"/>
      <c r="CE17" s="71"/>
      <c r="CF17" s="71"/>
      <c r="CG17" s="71">
        <v>16</v>
      </c>
      <c r="CH17" s="71" t="str">
        <f t="shared" si="3"/>
        <v/>
      </c>
      <c r="CI17" s="71" t="str">
        <f t="shared" si="3"/>
        <v/>
      </c>
      <c r="CJ17" s="71" t="str">
        <f t="shared" si="3"/>
        <v/>
      </c>
      <c r="CK17" s="71" t="str">
        <f t="shared" si="3"/>
        <v/>
      </c>
      <c r="CL17" s="71" t="str">
        <f t="shared" si="3"/>
        <v/>
      </c>
      <c r="CM17" s="71" t="str">
        <f t="shared" si="3"/>
        <v/>
      </c>
      <c r="CN17" s="71" t="str">
        <f t="shared" si="3"/>
        <v/>
      </c>
      <c r="CO17" s="71" t="str">
        <f t="shared" si="3"/>
        <v/>
      </c>
      <c r="CP17" s="71" t="str">
        <f t="shared" si="3"/>
        <v/>
      </c>
      <c r="CQ17" s="71" t="str">
        <f t="shared" si="3"/>
        <v/>
      </c>
      <c r="CR17" s="71"/>
      <c r="CS17" s="71">
        <v>16</v>
      </c>
      <c r="CT17" s="71" t="str">
        <f t="shared" si="4"/>
        <v/>
      </c>
      <c r="CU17" s="71" t="str">
        <f t="shared" si="4"/>
        <v/>
      </c>
      <c r="CV17" s="71" t="str">
        <f t="shared" si="4"/>
        <v/>
      </c>
      <c r="CW17" s="71" t="str">
        <f t="shared" si="4"/>
        <v/>
      </c>
      <c r="CX17" s="71" t="str">
        <f t="shared" si="4"/>
        <v/>
      </c>
      <c r="CY17" s="71" t="str">
        <f t="shared" si="4"/>
        <v/>
      </c>
      <c r="CZ17" s="71" t="str">
        <f t="shared" si="4"/>
        <v/>
      </c>
      <c r="DA17" s="71" t="str">
        <f t="shared" si="4"/>
        <v/>
      </c>
      <c r="DB17" s="71" t="str">
        <f t="shared" si="4"/>
        <v/>
      </c>
      <c r="DC17" s="72" t="str">
        <f t="shared" si="4"/>
        <v/>
      </c>
    </row>
    <row r="18" spans="1:107" ht="15.5" thickTop="1" thickBot="1" x14ac:dyDescent="0.4">
      <c r="A18" s="52">
        <v>114</v>
      </c>
      <c r="B18" s="52">
        <v>17</v>
      </c>
      <c r="E18" s="65" t="s">
        <v>198</v>
      </c>
      <c r="F18" s="55">
        <v>0.2</v>
      </c>
      <c r="H18" s="79"/>
      <c r="I18" s="37"/>
      <c r="J18" s="75"/>
      <c r="K18" s="37"/>
      <c r="L18" s="75">
        <f t="shared" si="11"/>
        <v>0</v>
      </c>
      <c r="M18" s="37"/>
      <c r="N18" s="75"/>
      <c r="O18" s="37"/>
      <c r="P18" s="75"/>
      <c r="Q18" s="37"/>
      <c r="R18" s="75"/>
      <c r="S18" s="37"/>
      <c r="T18" s="75"/>
      <c r="U18" s="61"/>
      <c r="V18" s="75"/>
      <c r="W18" s="37"/>
      <c r="X18" s="75"/>
      <c r="Y18" s="61"/>
      <c r="Z18" s="75"/>
      <c r="AA18" s="61"/>
      <c r="AB18" s="75"/>
      <c r="AC18" s="61"/>
      <c r="AD18" s="75"/>
      <c r="AE18" s="61"/>
      <c r="AF18" s="75"/>
      <c r="AG18" s="61"/>
      <c r="AH18" s="75"/>
      <c r="AJ18" s="75"/>
      <c r="AL18" s="75"/>
      <c r="AM18" s="61">
        <v>10</v>
      </c>
      <c r="AN18" s="58">
        <f>PRODUCT($F18*AM18)</f>
        <v>2</v>
      </c>
      <c r="AO18" s="61">
        <f>AM18</f>
        <v>10</v>
      </c>
      <c r="AP18" s="58">
        <f>PRODUCT($F18*AO18)</f>
        <v>2</v>
      </c>
      <c r="AQ18" s="61">
        <f>AO18</f>
        <v>10</v>
      </c>
      <c r="AR18" s="75"/>
      <c r="AS18" s="61">
        <f>AQ18</f>
        <v>10</v>
      </c>
      <c r="AT18" s="75"/>
      <c r="AU18" s="61">
        <f>AS18</f>
        <v>10</v>
      </c>
      <c r="AV18" s="58">
        <f>PRODUCT($F18*AU18)</f>
        <v>2</v>
      </c>
      <c r="AW18" s="61">
        <f>AU18</f>
        <v>10</v>
      </c>
      <c r="AX18" s="58">
        <f>PRODUCT($F18*AW18)</f>
        <v>2</v>
      </c>
      <c r="AY18" s="61">
        <f>AW18</f>
        <v>10</v>
      </c>
      <c r="AZ18" s="58">
        <f>PRODUCT($F18*AY18)</f>
        <v>2</v>
      </c>
      <c r="BA18" s="61">
        <f>AY18</f>
        <v>10</v>
      </c>
      <c r="BB18" s="58">
        <f>PRODUCT($F18*BA18)</f>
        <v>2</v>
      </c>
      <c r="BC18" s="61">
        <f>BA18</f>
        <v>10</v>
      </c>
      <c r="BD18" s="58">
        <f>PRODUCT($F18*BC18)</f>
        <v>2</v>
      </c>
      <c r="BE18" s="61">
        <f>BC18</f>
        <v>10</v>
      </c>
      <c r="BF18" s="58">
        <f>PRODUCT($F18*BE18)</f>
        <v>2</v>
      </c>
      <c r="BG18" s="61">
        <f>BE18</f>
        <v>10</v>
      </c>
      <c r="BH18" s="58">
        <f>PRODUCT($F18*BG18)</f>
        <v>2</v>
      </c>
      <c r="BI18" s="57">
        <f>BG18</f>
        <v>10</v>
      </c>
      <c r="BJ18" s="58">
        <f>PRODUCT($F18*BI18)</f>
        <v>2</v>
      </c>
      <c r="BK18" s="80"/>
      <c r="BM18" s="80"/>
      <c r="BN18" s="51"/>
      <c r="BO18" s="64">
        <v>29</v>
      </c>
      <c r="BP18" s="64">
        <v>1</v>
      </c>
      <c r="BQ18" s="64">
        <v>29.01</v>
      </c>
      <c r="BR18" s="34" t="s">
        <v>179</v>
      </c>
      <c r="BS18" s="65" t="s">
        <v>198</v>
      </c>
      <c r="BT18" s="65" t="s">
        <v>199</v>
      </c>
      <c r="BU18" s="37" t="s">
        <v>200</v>
      </c>
      <c r="BV18" s="66">
        <f t="shared" si="5"/>
        <v>1655.6107999999999</v>
      </c>
      <c r="BW18" s="66">
        <f t="shared" si="1"/>
        <v>0</v>
      </c>
      <c r="BX18" s="66" t="str">
        <f t="shared" si="2"/>
        <v/>
      </c>
      <c r="BY18" s="67"/>
      <c r="BZ18" s="68">
        <v>17</v>
      </c>
      <c r="CA18" s="85" t="s">
        <v>201</v>
      </c>
      <c r="CB18" s="86">
        <f t="shared" si="6"/>
        <v>206344.29270666669</v>
      </c>
      <c r="CC18" s="86">
        <f t="shared" si="7"/>
        <v>11654.135954644915</v>
      </c>
      <c r="CD18" s="70"/>
      <c r="CE18" s="71"/>
      <c r="CF18" s="71"/>
      <c r="CG18" s="71">
        <v>17</v>
      </c>
      <c r="CH18" s="71">
        <f t="shared" ref="CH18:CQ33" si="38">IF(LOOKUP($CG18+CH$1/100,$BQ$2:$BQ$76,$BQ$2:$BQ$76)=  $CG18+CH$1/100,             LOOKUP($CG18+CH$1/100,$BQ$2:$BQ$76,$BV$2:$BV$76), "")</f>
        <v>13244.886399999999</v>
      </c>
      <c r="CI18" s="71">
        <f t="shared" si="38"/>
        <v>34712.639773333329</v>
      </c>
      <c r="CJ18" s="71">
        <f t="shared" si="38"/>
        <v>9657.7296666666662</v>
      </c>
      <c r="CK18" s="71">
        <f t="shared" si="38"/>
        <v>56290.767200000002</v>
      </c>
      <c r="CL18" s="71">
        <f t="shared" si="38"/>
        <v>85926.200519999999</v>
      </c>
      <c r="CM18" s="71">
        <f t="shared" si="38"/>
        <v>0</v>
      </c>
      <c r="CN18" s="71">
        <f t="shared" si="38"/>
        <v>1821.1718799999999</v>
      </c>
      <c r="CO18" s="71">
        <f t="shared" si="38"/>
        <v>4690.8972666666659</v>
      </c>
      <c r="CP18" s="71" t="str">
        <f t="shared" si="38"/>
        <v/>
      </c>
      <c r="CQ18" s="71" t="str">
        <f t="shared" si="38"/>
        <v/>
      </c>
      <c r="CR18" s="71"/>
      <c r="CS18" s="71">
        <v>17</v>
      </c>
      <c r="CT18" s="71">
        <f t="shared" ref="CT18:DC33" si="39">IF(LOOKUP($CS18+CT$1/100,$BQ$2:$BQ$76,$BQ$2:$BQ$76)=  $CS18+CT$1/100,             LOOKUP($CS18+CT$1/100,$BQ$2:$BQ$76,$BW$2:$BW$76)^2, "")</f>
        <v>246694.24089689762</v>
      </c>
      <c r="CU18" s="71">
        <f t="shared" si="39"/>
        <v>89093168.25872758</v>
      </c>
      <c r="CV18" s="71">
        <f t="shared" si="39"/>
        <v>3764371.3796119099</v>
      </c>
      <c r="CW18" s="71">
        <f t="shared" si="39"/>
        <v>36264053.411843941</v>
      </c>
      <c r="CX18" s="71">
        <f t="shared" si="39"/>
        <v>5701378.0118394094</v>
      </c>
      <c r="CY18" s="71">
        <f t="shared" si="39"/>
        <v>0</v>
      </c>
      <c r="CZ18" s="71">
        <f t="shared" si="39"/>
        <v>356336.12573996308</v>
      </c>
      <c r="DA18" s="71">
        <f t="shared" si="39"/>
        <v>392883.42068764963</v>
      </c>
      <c r="DB18" s="71" t="str">
        <f t="shared" si="39"/>
        <v/>
      </c>
      <c r="DC18" s="72" t="str">
        <f t="shared" si="39"/>
        <v/>
      </c>
    </row>
    <row r="19" spans="1:107" ht="15" thickTop="1" x14ac:dyDescent="0.35">
      <c r="A19" s="52">
        <v>115</v>
      </c>
      <c r="B19" s="52">
        <v>18</v>
      </c>
      <c r="E19" s="65" t="s">
        <v>202</v>
      </c>
      <c r="F19" s="55">
        <v>0.2</v>
      </c>
      <c r="H19" s="79"/>
      <c r="I19" s="37"/>
      <c r="J19" s="75"/>
      <c r="K19" s="37"/>
      <c r="L19" s="75">
        <f t="shared" si="11"/>
        <v>0</v>
      </c>
      <c r="M19" s="37"/>
      <c r="N19" s="75"/>
      <c r="O19" s="37"/>
      <c r="P19" s="75"/>
      <c r="Q19" s="37"/>
      <c r="R19" s="75"/>
      <c r="S19" s="37"/>
      <c r="T19" s="75"/>
      <c r="U19" s="61"/>
      <c r="V19" s="75"/>
      <c r="W19" s="37"/>
      <c r="X19" s="75"/>
      <c r="Y19" s="61"/>
      <c r="Z19" s="75"/>
      <c r="AA19" s="61"/>
      <c r="AB19" s="75"/>
      <c r="AC19" s="61"/>
      <c r="AD19" s="75"/>
      <c r="AE19" s="61"/>
      <c r="AF19" s="75"/>
      <c r="AG19" s="61"/>
      <c r="AH19" s="75"/>
      <c r="AJ19" s="75"/>
      <c r="AL19" s="75"/>
      <c r="AM19" s="61">
        <v>4</v>
      </c>
      <c r="AN19" s="58">
        <f>PRODUCT($F19*AM19)</f>
        <v>0.8</v>
      </c>
      <c r="AO19" s="61">
        <f>AM19</f>
        <v>4</v>
      </c>
      <c r="AP19" s="58">
        <f>PRODUCT($F19*AO19)</f>
        <v>0.8</v>
      </c>
      <c r="AQ19" s="61">
        <f>AO19</f>
        <v>4</v>
      </c>
      <c r="AR19" s="75"/>
      <c r="AS19" s="61">
        <f>AQ19</f>
        <v>4</v>
      </c>
      <c r="AT19" s="75"/>
      <c r="AU19" s="61">
        <f>AS19</f>
        <v>4</v>
      </c>
      <c r="AV19" s="58">
        <f>PRODUCT($F19*AU19)</f>
        <v>0.8</v>
      </c>
      <c r="AW19" s="61">
        <f>AU19</f>
        <v>4</v>
      </c>
      <c r="AX19" s="58">
        <f>PRODUCT($F19*AW19)</f>
        <v>0.8</v>
      </c>
      <c r="AY19" s="61">
        <f>AW19</f>
        <v>4</v>
      </c>
      <c r="AZ19" s="58">
        <f>PRODUCT($F19*AY19)</f>
        <v>0.8</v>
      </c>
      <c r="BA19" s="61">
        <f>AY19</f>
        <v>4</v>
      </c>
      <c r="BB19" s="58">
        <f>PRODUCT($F19*BA19)</f>
        <v>0.8</v>
      </c>
      <c r="BC19" s="61">
        <f>BA19</f>
        <v>4</v>
      </c>
      <c r="BD19" s="58">
        <f>PRODUCT($F19*BC19)</f>
        <v>0.8</v>
      </c>
      <c r="BE19" s="61">
        <f>BC19</f>
        <v>4</v>
      </c>
      <c r="BF19" s="58">
        <f>PRODUCT($F19*BE19)</f>
        <v>0.8</v>
      </c>
      <c r="BG19" s="61">
        <f>BE19</f>
        <v>4</v>
      </c>
      <c r="BH19" s="58">
        <f>PRODUCT($F19*BG19)</f>
        <v>0.8</v>
      </c>
      <c r="BI19" s="57">
        <f>BG19</f>
        <v>4</v>
      </c>
      <c r="BJ19" s="58">
        <f>PRODUCT($F19*BI19)</f>
        <v>0.8</v>
      </c>
      <c r="BK19" s="80"/>
      <c r="BM19" s="51"/>
      <c r="BN19" s="51"/>
      <c r="BO19" s="64">
        <v>29</v>
      </c>
      <c r="BP19" s="64">
        <v>2</v>
      </c>
      <c r="BQ19" s="64">
        <v>29.02</v>
      </c>
      <c r="BR19" s="34" t="s">
        <v>179</v>
      </c>
      <c r="BS19" s="65" t="s">
        <v>202</v>
      </c>
      <c r="BT19" s="65" t="s">
        <v>199</v>
      </c>
      <c r="BU19" s="37" t="s">
        <v>175</v>
      </c>
      <c r="BV19" s="66">
        <f t="shared" si="5"/>
        <v>662.24432000000002</v>
      </c>
      <c r="BW19" s="66">
        <f t="shared" si="1"/>
        <v>0</v>
      </c>
      <c r="BX19" s="66" t="str">
        <f t="shared" si="2"/>
        <v/>
      </c>
      <c r="BY19" s="67"/>
      <c r="BZ19" s="68">
        <v>18</v>
      </c>
      <c r="CA19" s="74" t="s">
        <v>17</v>
      </c>
      <c r="CB19" s="69">
        <f t="shared" si="6"/>
        <v>0</v>
      </c>
      <c r="CC19" s="69">
        <f t="shared" si="7"/>
        <v>0</v>
      </c>
      <c r="CD19" s="70"/>
      <c r="CE19" s="71"/>
      <c r="CF19" s="71"/>
      <c r="CG19" s="71">
        <v>18</v>
      </c>
      <c r="CH19" s="71" t="str">
        <f t="shared" si="38"/>
        <v/>
      </c>
      <c r="CI19" s="71" t="str">
        <f t="shared" si="38"/>
        <v/>
      </c>
      <c r="CJ19" s="71" t="str">
        <f t="shared" si="38"/>
        <v/>
      </c>
      <c r="CK19" s="71" t="str">
        <f t="shared" si="38"/>
        <v/>
      </c>
      <c r="CL19" s="71" t="str">
        <f t="shared" si="38"/>
        <v/>
      </c>
      <c r="CM19" s="71" t="str">
        <f t="shared" si="38"/>
        <v/>
      </c>
      <c r="CN19" s="71" t="str">
        <f t="shared" si="38"/>
        <v/>
      </c>
      <c r="CO19" s="71" t="str">
        <f t="shared" si="38"/>
        <v/>
      </c>
      <c r="CP19" s="71" t="str">
        <f t="shared" si="38"/>
        <v/>
      </c>
      <c r="CQ19" s="71" t="str">
        <f t="shared" si="38"/>
        <v/>
      </c>
      <c r="CR19" s="71"/>
      <c r="CS19" s="71">
        <v>18</v>
      </c>
      <c r="CT19" s="71" t="str">
        <f t="shared" si="39"/>
        <v/>
      </c>
      <c r="CU19" s="71" t="str">
        <f t="shared" si="39"/>
        <v/>
      </c>
      <c r="CV19" s="71" t="str">
        <f t="shared" si="39"/>
        <v/>
      </c>
      <c r="CW19" s="71" t="str">
        <f t="shared" si="39"/>
        <v/>
      </c>
      <c r="CX19" s="71" t="str">
        <f t="shared" si="39"/>
        <v/>
      </c>
      <c r="CY19" s="71" t="str">
        <f t="shared" si="39"/>
        <v/>
      </c>
      <c r="CZ19" s="71" t="str">
        <f t="shared" si="39"/>
        <v/>
      </c>
      <c r="DA19" s="71" t="str">
        <f t="shared" si="39"/>
        <v/>
      </c>
      <c r="DB19" s="71" t="str">
        <f t="shared" si="39"/>
        <v/>
      </c>
      <c r="DC19" s="72" t="str">
        <f t="shared" si="39"/>
        <v/>
      </c>
    </row>
    <row r="20" spans="1:107" x14ac:dyDescent="0.35">
      <c r="A20" s="52">
        <v>45</v>
      </c>
      <c r="B20" s="52">
        <v>19</v>
      </c>
      <c r="C20" s="52">
        <v>3</v>
      </c>
      <c r="D20" s="52">
        <v>1</v>
      </c>
      <c r="E20" s="80" t="s">
        <v>203</v>
      </c>
      <c r="F20" s="55">
        <v>0.55000000000000004</v>
      </c>
      <c r="G20" s="53">
        <v>526</v>
      </c>
      <c r="H20" s="76">
        <f t="shared" ref="H20:H30" si="40">(F20*G20)</f>
        <v>289.3</v>
      </c>
      <c r="I20" s="77">
        <v>192</v>
      </c>
      <c r="J20" s="58">
        <f t="shared" ref="J20:J30" si="41">PRODUCT(F20,I20)</f>
        <v>105.60000000000001</v>
      </c>
      <c r="K20" s="57"/>
      <c r="L20" s="58">
        <f t="shared" si="11"/>
        <v>0</v>
      </c>
      <c r="M20" s="77">
        <v>676</v>
      </c>
      <c r="N20" s="58">
        <f t="shared" ref="N20:N30" si="42">PRODUCT(F20*M20)</f>
        <v>371.8</v>
      </c>
      <c r="O20" s="77">
        <v>697</v>
      </c>
      <c r="P20" s="58">
        <f t="shared" ref="P20:P30" si="43">PRODUCT(F20*O20)</f>
        <v>383.35</v>
      </c>
      <c r="Q20" s="77">
        <v>753</v>
      </c>
      <c r="R20" s="58">
        <f t="shared" ref="R20:R30" si="44">PRODUCT(F20*Q20)</f>
        <v>414.15000000000003</v>
      </c>
      <c r="S20" s="77">
        <v>887</v>
      </c>
      <c r="T20" s="58">
        <f t="shared" ref="T20:T30" si="45">PRODUCT(F20*S20)</f>
        <v>487.85</v>
      </c>
      <c r="U20" s="57">
        <v>1016</v>
      </c>
      <c r="V20" s="58">
        <f t="shared" ref="V20:V30" si="46">PRODUCT(U20*F20)</f>
        <v>558.80000000000007</v>
      </c>
      <c r="W20" s="77">
        <v>748</v>
      </c>
      <c r="X20" s="58">
        <f t="shared" ref="X20:X30" si="47">PRODUCT(W20*F20)</f>
        <v>411.40000000000003</v>
      </c>
      <c r="Y20" s="57">
        <v>547</v>
      </c>
      <c r="Z20" s="58">
        <f t="shared" ref="Z20:Z30" si="48">PRODUCT(Y20*F20)</f>
        <v>300.85000000000002</v>
      </c>
      <c r="AA20" s="57">
        <v>142</v>
      </c>
      <c r="AB20" s="58">
        <f t="shared" ref="AB20:AB30" si="49">PRODUCT(AA20*F20)</f>
        <v>78.100000000000009</v>
      </c>
      <c r="AC20" s="57">
        <v>80</v>
      </c>
      <c r="AD20" s="58">
        <f t="shared" ref="AD20:AD30" si="50">PRODUCT(AC20*F20)</f>
        <v>44</v>
      </c>
      <c r="AE20" s="57">
        <v>127</v>
      </c>
      <c r="AF20" s="58">
        <f t="shared" ref="AF20:AF30" si="51">PRODUCT(F20,AE20)</f>
        <v>69.850000000000009</v>
      </c>
      <c r="AG20" s="57">
        <v>135</v>
      </c>
      <c r="AH20" s="58">
        <f t="shared" ref="AH20:AH27" si="52">PRODUCT(F20,AG20)</f>
        <v>74.25</v>
      </c>
      <c r="AI20" s="61">
        <v>103</v>
      </c>
      <c r="AJ20" s="58">
        <f t="shared" ref="AJ20:AJ30" si="53">PRODUCT(F20,AI20)</f>
        <v>56.650000000000006</v>
      </c>
      <c r="AK20" s="61">
        <v>111</v>
      </c>
      <c r="AL20" s="58">
        <f t="shared" ref="AL20:AL30" si="54">PRODUCT(F20,AK20)</f>
        <v>61.050000000000004</v>
      </c>
      <c r="AM20" s="61">
        <v>105</v>
      </c>
      <c r="AN20" s="58">
        <f t="shared" ref="AN20:AN30" si="55">PRODUCT(F20,AM20)</f>
        <v>57.750000000000007</v>
      </c>
      <c r="AO20" s="61">
        <v>94</v>
      </c>
      <c r="AP20" s="58">
        <f t="shared" ref="AP20:AP30" si="56">PRODUCT( F20*AO20)</f>
        <v>51.7</v>
      </c>
      <c r="AQ20" s="61">
        <v>110</v>
      </c>
      <c r="AR20" s="58">
        <f t="shared" ref="AR20:AR30" si="57">PRODUCT( F20*AQ20)</f>
        <v>60.500000000000007</v>
      </c>
      <c r="AS20" s="57">
        <v>102</v>
      </c>
      <c r="AT20" s="58">
        <f t="shared" ref="AT20:AT30" si="58">PRODUCT( F20*AS20)</f>
        <v>56.1</v>
      </c>
      <c r="AU20" s="57">
        <v>94</v>
      </c>
      <c r="AV20" s="58">
        <f t="shared" ref="AV20:AV30" si="59">PRODUCT( F20*AU20)</f>
        <v>51.7</v>
      </c>
      <c r="AW20" s="57">
        <v>131</v>
      </c>
      <c r="AX20" s="58">
        <f t="shared" ref="AX20:AX30" si="60">PRODUCT(F20*AW20)</f>
        <v>72.050000000000011</v>
      </c>
      <c r="AY20" s="57">
        <v>108</v>
      </c>
      <c r="AZ20" s="58">
        <f t="shared" ref="AZ20:AZ30" si="61">PRODUCT(F20*AY20)</f>
        <v>59.400000000000006</v>
      </c>
      <c r="BA20" s="57">
        <v>92</v>
      </c>
      <c r="BB20" s="58">
        <f t="shared" ref="BB20:BB30" si="62">PRODUCT(F20*BA20)</f>
        <v>50.6</v>
      </c>
      <c r="BC20" s="57">
        <v>113</v>
      </c>
      <c r="BD20" s="58">
        <f t="shared" ref="BD20:BD30" si="63">PRODUCT(F20*BC20)</f>
        <v>62.150000000000006</v>
      </c>
      <c r="BE20" s="57">
        <v>100</v>
      </c>
      <c r="BF20" s="58">
        <f t="shared" ref="BF20:BF30" si="64">PRODUCT(F20*BE20)</f>
        <v>55.000000000000007</v>
      </c>
      <c r="BG20" s="57">
        <v>101</v>
      </c>
      <c r="BH20" s="58">
        <f t="shared" ref="BH20:BH30" si="65">PRODUCT(F20*BG20)</f>
        <v>55.550000000000004</v>
      </c>
      <c r="BI20" s="57">
        <v>86</v>
      </c>
      <c r="BJ20" s="58">
        <f t="shared" ref="BJ20:BJ30" si="66">PRODUCT(F20*BI20)</f>
        <v>47.300000000000004</v>
      </c>
      <c r="BK20" s="62">
        <f t="shared" ref="BK20:BL30" si="67">I20</f>
        <v>192</v>
      </c>
      <c r="BL20" s="63">
        <f t="shared" si="67"/>
        <v>105.60000000000001</v>
      </c>
      <c r="BO20" s="64">
        <v>45</v>
      </c>
      <c r="BP20" s="64">
        <v>1</v>
      </c>
      <c r="BQ20" s="64">
        <v>45.01</v>
      </c>
      <c r="BR20" s="34" t="s">
        <v>179</v>
      </c>
      <c r="BS20" s="65" t="s">
        <v>203</v>
      </c>
      <c r="BT20" s="65" t="s">
        <v>204</v>
      </c>
      <c r="BU20" s="37" t="s">
        <v>175</v>
      </c>
      <c r="BV20" s="66">
        <f t="shared" si="5"/>
        <v>15838.676653333336</v>
      </c>
      <c r="BW20" s="66">
        <f t="shared" si="1"/>
        <v>1388.4775145786734</v>
      </c>
      <c r="BX20" s="66">
        <f t="shared" si="2"/>
        <v>8.7663732581248244</v>
      </c>
      <c r="BY20" s="67"/>
      <c r="BZ20" s="68">
        <v>19</v>
      </c>
      <c r="CA20" s="74" t="s">
        <v>18</v>
      </c>
      <c r="CB20" s="69">
        <f t="shared" si="6"/>
        <v>0</v>
      </c>
      <c r="CC20" s="69">
        <f t="shared" si="7"/>
        <v>0</v>
      </c>
      <c r="CD20" s="70"/>
      <c r="CE20" s="71"/>
      <c r="CF20" s="71"/>
      <c r="CG20" s="71">
        <v>19</v>
      </c>
      <c r="CH20" s="71" t="str">
        <f t="shared" si="38"/>
        <v/>
      </c>
      <c r="CI20" s="71" t="str">
        <f t="shared" si="38"/>
        <v/>
      </c>
      <c r="CJ20" s="71" t="str">
        <f t="shared" si="38"/>
        <v/>
      </c>
      <c r="CK20" s="71" t="str">
        <f t="shared" si="38"/>
        <v/>
      </c>
      <c r="CL20" s="71" t="str">
        <f t="shared" si="38"/>
        <v/>
      </c>
      <c r="CM20" s="71" t="str">
        <f t="shared" si="38"/>
        <v/>
      </c>
      <c r="CN20" s="71" t="str">
        <f t="shared" si="38"/>
        <v/>
      </c>
      <c r="CO20" s="71" t="str">
        <f t="shared" si="38"/>
        <v/>
      </c>
      <c r="CP20" s="71" t="str">
        <f t="shared" si="38"/>
        <v/>
      </c>
      <c r="CQ20" s="71" t="str">
        <f t="shared" si="38"/>
        <v/>
      </c>
      <c r="CR20" s="71"/>
      <c r="CS20" s="71">
        <v>19</v>
      </c>
      <c r="CT20" s="71" t="str">
        <f t="shared" si="39"/>
        <v/>
      </c>
      <c r="CU20" s="71" t="str">
        <f t="shared" si="39"/>
        <v/>
      </c>
      <c r="CV20" s="71" t="str">
        <f t="shared" si="39"/>
        <v/>
      </c>
      <c r="CW20" s="71" t="str">
        <f t="shared" si="39"/>
        <v/>
      </c>
      <c r="CX20" s="71" t="str">
        <f t="shared" si="39"/>
        <v/>
      </c>
      <c r="CY20" s="71" t="str">
        <f t="shared" si="39"/>
        <v/>
      </c>
      <c r="CZ20" s="71" t="str">
        <f t="shared" si="39"/>
        <v/>
      </c>
      <c r="DA20" s="71" t="str">
        <f t="shared" si="39"/>
        <v/>
      </c>
      <c r="DB20" s="71" t="str">
        <f t="shared" si="39"/>
        <v/>
      </c>
      <c r="DC20" s="72" t="str">
        <f t="shared" si="39"/>
        <v/>
      </c>
    </row>
    <row r="21" spans="1:107" x14ac:dyDescent="0.35">
      <c r="A21" s="52">
        <v>47</v>
      </c>
      <c r="B21" s="52">
        <v>20</v>
      </c>
      <c r="C21" s="52">
        <v>3</v>
      </c>
      <c r="D21" s="52">
        <v>1</v>
      </c>
      <c r="E21" s="80" t="s">
        <v>205</v>
      </c>
      <c r="F21" s="55">
        <v>0.55000000000000004</v>
      </c>
      <c r="G21" s="53">
        <v>433</v>
      </c>
      <c r="H21" s="76">
        <f t="shared" si="40"/>
        <v>238.15</v>
      </c>
      <c r="I21" s="77">
        <v>158</v>
      </c>
      <c r="J21" s="58">
        <f t="shared" si="41"/>
        <v>86.9</v>
      </c>
      <c r="K21" s="57"/>
      <c r="L21" s="58">
        <f t="shared" si="11"/>
        <v>0</v>
      </c>
      <c r="M21" s="77">
        <v>556</v>
      </c>
      <c r="N21" s="58">
        <f t="shared" si="42"/>
        <v>305.8</v>
      </c>
      <c r="O21" s="77">
        <v>616</v>
      </c>
      <c r="P21" s="58">
        <f t="shared" si="43"/>
        <v>338.8</v>
      </c>
      <c r="Q21" s="77">
        <v>561</v>
      </c>
      <c r="R21" s="58">
        <f t="shared" si="44"/>
        <v>308.55</v>
      </c>
      <c r="S21" s="77">
        <v>562</v>
      </c>
      <c r="T21" s="58">
        <f t="shared" si="45"/>
        <v>309.10000000000002</v>
      </c>
      <c r="U21" s="57">
        <v>489</v>
      </c>
      <c r="V21" s="58">
        <f t="shared" si="46"/>
        <v>268.95000000000005</v>
      </c>
      <c r="W21" s="77">
        <v>514</v>
      </c>
      <c r="X21" s="58">
        <f t="shared" si="47"/>
        <v>282.70000000000005</v>
      </c>
      <c r="Y21" s="57">
        <v>414</v>
      </c>
      <c r="Z21" s="58">
        <f t="shared" si="48"/>
        <v>227.70000000000002</v>
      </c>
      <c r="AA21" s="57">
        <v>534</v>
      </c>
      <c r="AB21" s="58">
        <f t="shared" si="49"/>
        <v>293.70000000000005</v>
      </c>
      <c r="AC21" s="57">
        <v>502</v>
      </c>
      <c r="AD21" s="58">
        <f t="shared" si="50"/>
        <v>276.10000000000002</v>
      </c>
      <c r="AE21" s="57">
        <v>492</v>
      </c>
      <c r="AF21" s="58">
        <f t="shared" si="51"/>
        <v>270.60000000000002</v>
      </c>
      <c r="AG21" s="57">
        <v>420</v>
      </c>
      <c r="AH21" s="58">
        <f t="shared" si="52"/>
        <v>231.00000000000003</v>
      </c>
      <c r="AI21" s="61">
        <v>226</v>
      </c>
      <c r="AJ21" s="58">
        <f t="shared" si="53"/>
        <v>124.30000000000001</v>
      </c>
      <c r="AK21" s="61">
        <v>214</v>
      </c>
      <c r="AL21" s="58">
        <f t="shared" si="54"/>
        <v>117.7</v>
      </c>
      <c r="AM21" s="61">
        <v>249</v>
      </c>
      <c r="AN21" s="58">
        <f t="shared" si="55"/>
        <v>136.95000000000002</v>
      </c>
      <c r="AO21" s="61">
        <v>191</v>
      </c>
      <c r="AP21" s="58">
        <f t="shared" si="56"/>
        <v>105.05000000000001</v>
      </c>
      <c r="AQ21" s="61">
        <v>164</v>
      </c>
      <c r="AR21" s="58">
        <f t="shared" si="57"/>
        <v>90.2</v>
      </c>
      <c r="AS21" s="57">
        <v>199</v>
      </c>
      <c r="AT21" s="58">
        <f t="shared" si="58"/>
        <v>109.45</v>
      </c>
      <c r="AU21" s="57">
        <v>172</v>
      </c>
      <c r="AV21" s="58">
        <f t="shared" si="59"/>
        <v>94.600000000000009</v>
      </c>
      <c r="AW21" s="57">
        <v>150</v>
      </c>
      <c r="AX21" s="58">
        <f t="shared" si="60"/>
        <v>82.5</v>
      </c>
      <c r="AY21" s="57">
        <v>158</v>
      </c>
      <c r="AZ21" s="58">
        <f t="shared" si="61"/>
        <v>86.9</v>
      </c>
      <c r="BA21" s="57">
        <v>138</v>
      </c>
      <c r="BB21" s="58">
        <f t="shared" si="62"/>
        <v>75.900000000000006</v>
      </c>
      <c r="BC21" s="57">
        <v>145</v>
      </c>
      <c r="BD21" s="58">
        <f t="shared" si="63"/>
        <v>79.75</v>
      </c>
      <c r="BE21" s="57">
        <v>179</v>
      </c>
      <c r="BF21" s="58">
        <f t="shared" si="64"/>
        <v>98.45</v>
      </c>
      <c r="BG21" s="57">
        <v>213</v>
      </c>
      <c r="BH21" s="58">
        <f t="shared" si="65"/>
        <v>117.15</v>
      </c>
      <c r="BI21" s="57">
        <v>200</v>
      </c>
      <c r="BJ21" s="58">
        <f t="shared" si="66"/>
        <v>110.00000000000001</v>
      </c>
      <c r="BK21" s="62">
        <f t="shared" si="67"/>
        <v>158</v>
      </c>
      <c r="BL21" s="63">
        <f t="shared" si="67"/>
        <v>86.9</v>
      </c>
      <c r="BO21" s="65">
        <v>48</v>
      </c>
      <c r="BP21" s="65">
        <v>1</v>
      </c>
      <c r="BQ21" s="65">
        <v>48.01</v>
      </c>
      <c r="BR21" s="34" t="s">
        <v>179</v>
      </c>
      <c r="BS21" s="65" t="s">
        <v>205</v>
      </c>
      <c r="BT21" s="65" t="s">
        <v>206</v>
      </c>
      <c r="BU21" s="37" t="s">
        <v>175</v>
      </c>
      <c r="BV21" s="66">
        <f t="shared" si="5"/>
        <v>32670.719786666665</v>
      </c>
      <c r="BW21" s="66">
        <f t="shared" si="1"/>
        <v>2840.3900013382399</v>
      </c>
      <c r="BX21" s="66">
        <f t="shared" si="2"/>
        <v>8.693992724633631</v>
      </c>
      <c r="BY21" s="67"/>
      <c r="BZ21" s="68">
        <v>20</v>
      </c>
      <c r="CA21" s="74" t="s">
        <v>19</v>
      </c>
      <c r="CB21" s="69">
        <f t="shared" si="6"/>
        <v>0</v>
      </c>
      <c r="CC21" s="69">
        <f t="shared" si="7"/>
        <v>0</v>
      </c>
      <c r="CD21" s="70"/>
      <c r="CE21" s="71"/>
      <c r="CF21" s="71"/>
      <c r="CG21" s="71">
        <v>20</v>
      </c>
      <c r="CH21" s="71" t="str">
        <f t="shared" si="38"/>
        <v/>
      </c>
      <c r="CI21" s="71" t="str">
        <f t="shared" si="38"/>
        <v/>
      </c>
      <c r="CJ21" s="71" t="str">
        <f t="shared" si="38"/>
        <v/>
      </c>
      <c r="CK21" s="71" t="str">
        <f t="shared" si="38"/>
        <v/>
      </c>
      <c r="CL21" s="71" t="str">
        <f t="shared" si="38"/>
        <v/>
      </c>
      <c r="CM21" s="71" t="str">
        <f t="shared" si="38"/>
        <v/>
      </c>
      <c r="CN21" s="71" t="str">
        <f t="shared" si="38"/>
        <v/>
      </c>
      <c r="CO21" s="71" t="str">
        <f t="shared" si="38"/>
        <v/>
      </c>
      <c r="CP21" s="71" t="str">
        <f t="shared" si="38"/>
        <v/>
      </c>
      <c r="CQ21" s="71" t="str">
        <f t="shared" si="38"/>
        <v/>
      </c>
      <c r="CR21" s="71"/>
      <c r="CS21" s="71">
        <v>20</v>
      </c>
      <c r="CT21" s="71" t="str">
        <f t="shared" si="39"/>
        <v/>
      </c>
      <c r="CU21" s="71" t="str">
        <f t="shared" si="39"/>
        <v/>
      </c>
      <c r="CV21" s="71" t="str">
        <f t="shared" si="39"/>
        <v/>
      </c>
      <c r="CW21" s="71" t="str">
        <f t="shared" si="39"/>
        <v/>
      </c>
      <c r="CX21" s="71" t="str">
        <f t="shared" si="39"/>
        <v/>
      </c>
      <c r="CY21" s="71" t="str">
        <f t="shared" si="39"/>
        <v/>
      </c>
      <c r="CZ21" s="71" t="str">
        <f t="shared" si="39"/>
        <v/>
      </c>
      <c r="DA21" s="71" t="str">
        <f t="shared" si="39"/>
        <v/>
      </c>
      <c r="DB21" s="71" t="str">
        <f t="shared" si="39"/>
        <v/>
      </c>
      <c r="DC21" s="72" t="str">
        <f t="shared" si="39"/>
        <v/>
      </c>
    </row>
    <row r="22" spans="1:107" x14ac:dyDescent="0.35">
      <c r="A22" s="52">
        <v>50</v>
      </c>
      <c r="B22" s="52">
        <v>21</v>
      </c>
      <c r="C22" s="52">
        <v>3</v>
      </c>
      <c r="D22" s="52">
        <v>1</v>
      </c>
      <c r="E22" s="80" t="s">
        <v>207</v>
      </c>
      <c r="F22" s="55">
        <v>0.55000000000000004</v>
      </c>
      <c r="G22" s="53">
        <v>737</v>
      </c>
      <c r="H22" s="76">
        <f t="shared" si="40"/>
        <v>405.35</v>
      </c>
      <c r="I22" s="77">
        <v>269</v>
      </c>
      <c r="J22" s="58">
        <f t="shared" si="41"/>
        <v>147.95000000000002</v>
      </c>
      <c r="K22" s="57"/>
      <c r="L22" s="58">
        <f t="shared" si="11"/>
        <v>0</v>
      </c>
      <c r="M22" s="77">
        <v>655</v>
      </c>
      <c r="N22" s="58">
        <f t="shared" si="42"/>
        <v>360.25000000000006</v>
      </c>
      <c r="O22" s="77">
        <v>744</v>
      </c>
      <c r="P22" s="58">
        <f t="shared" si="43"/>
        <v>409.20000000000005</v>
      </c>
      <c r="Q22" s="77">
        <v>620</v>
      </c>
      <c r="R22" s="58">
        <f t="shared" si="44"/>
        <v>341</v>
      </c>
      <c r="S22" s="77">
        <v>638</v>
      </c>
      <c r="T22" s="58">
        <f t="shared" si="45"/>
        <v>350.90000000000003</v>
      </c>
      <c r="U22" s="57">
        <v>645</v>
      </c>
      <c r="V22" s="58">
        <f t="shared" si="46"/>
        <v>354.75000000000006</v>
      </c>
      <c r="W22" s="77">
        <v>740</v>
      </c>
      <c r="X22" s="58">
        <f t="shared" si="47"/>
        <v>407.00000000000006</v>
      </c>
      <c r="Y22" s="57">
        <v>710</v>
      </c>
      <c r="Z22" s="58">
        <f t="shared" si="48"/>
        <v>390.50000000000006</v>
      </c>
      <c r="AA22" s="57">
        <v>549</v>
      </c>
      <c r="AB22" s="58">
        <f t="shared" si="49"/>
        <v>301.95000000000005</v>
      </c>
      <c r="AC22" s="57">
        <v>613</v>
      </c>
      <c r="AD22" s="58">
        <f t="shared" si="50"/>
        <v>337.15000000000003</v>
      </c>
      <c r="AE22" s="57">
        <v>624</v>
      </c>
      <c r="AF22" s="58">
        <f t="shared" si="51"/>
        <v>343.20000000000005</v>
      </c>
      <c r="AG22" s="57">
        <v>665</v>
      </c>
      <c r="AH22" s="58">
        <f t="shared" si="52"/>
        <v>365.75000000000006</v>
      </c>
      <c r="AI22" s="61">
        <v>546</v>
      </c>
      <c r="AJ22" s="58">
        <f t="shared" si="53"/>
        <v>300.3</v>
      </c>
      <c r="AK22" s="61">
        <v>340</v>
      </c>
      <c r="AL22" s="58">
        <f t="shared" si="54"/>
        <v>187.00000000000003</v>
      </c>
      <c r="AM22" s="61">
        <v>381</v>
      </c>
      <c r="AN22" s="58">
        <f t="shared" si="55"/>
        <v>209.55</v>
      </c>
      <c r="AO22" s="61">
        <v>429</v>
      </c>
      <c r="AP22" s="58">
        <f t="shared" si="56"/>
        <v>235.95000000000002</v>
      </c>
      <c r="AQ22" s="61">
        <v>456</v>
      </c>
      <c r="AR22" s="58">
        <f t="shared" si="57"/>
        <v>250.8</v>
      </c>
      <c r="AS22" s="57">
        <v>517</v>
      </c>
      <c r="AT22" s="58">
        <f t="shared" si="58"/>
        <v>284.35000000000002</v>
      </c>
      <c r="AU22" s="57">
        <v>356</v>
      </c>
      <c r="AV22" s="58">
        <f t="shared" si="59"/>
        <v>195.8</v>
      </c>
      <c r="AW22" s="57">
        <v>427</v>
      </c>
      <c r="AX22" s="58">
        <f t="shared" si="60"/>
        <v>234.85000000000002</v>
      </c>
      <c r="AY22" s="57">
        <v>423</v>
      </c>
      <c r="AZ22" s="58">
        <f t="shared" si="61"/>
        <v>232.65</v>
      </c>
      <c r="BA22" s="57">
        <v>463</v>
      </c>
      <c r="BB22" s="58">
        <f t="shared" si="62"/>
        <v>254.65000000000003</v>
      </c>
      <c r="BC22" s="57">
        <v>379</v>
      </c>
      <c r="BD22" s="58">
        <f t="shared" si="63"/>
        <v>208.45000000000002</v>
      </c>
      <c r="BE22" s="57">
        <v>415</v>
      </c>
      <c r="BF22" s="58">
        <f t="shared" si="64"/>
        <v>228.25000000000003</v>
      </c>
      <c r="BG22" s="57">
        <v>529</v>
      </c>
      <c r="BH22" s="58">
        <f t="shared" si="65"/>
        <v>290.95000000000005</v>
      </c>
      <c r="BI22" s="57">
        <v>413</v>
      </c>
      <c r="BJ22" s="58">
        <f t="shared" si="66"/>
        <v>227.15</v>
      </c>
      <c r="BK22" s="62">
        <f t="shared" si="67"/>
        <v>269</v>
      </c>
      <c r="BL22" s="63">
        <f t="shared" si="67"/>
        <v>147.95000000000002</v>
      </c>
      <c r="BO22" s="65">
        <v>48</v>
      </c>
      <c r="BP22" s="65">
        <v>2</v>
      </c>
      <c r="BQ22" s="65">
        <v>48.02</v>
      </c>
      <c r="BR22" s="34" t="s">
        <v>179</v>
      </c>
      <c r="BS22" s="65" t="s">
        <v>207</v>
      </c>
      <c r="BT22" s="65" t="s">
        <v>206</v>
      </c>
      <c r="BU22" s="37" t="s">
        <v>175</v>
      </c>
      <c r="BV22" s="66">
        <f t="shared" si="5"/>
        <v>74888.79518666667</v>
      </c>
      <c r="BW22" s="66">
        <f t="shared" si="1"/>
        <v>10993.72113490266</v>
      </c>
      <c r="BX22" s="66">
        <f t="shared" si="2"/>
        <v>14.680061426412161</v>
      </c>
      <c r="BY22" s="67"/>
      <c r="BZ22" s="68">
        <v>21</v>
      </c>
      <c r="CA22" s="74" t="s">
        <v>20</v>
      </c>
      <c r="CB22" s="69">
        <f t="shared" si="6"/>
        <v>0</v>
      </c>
      <c r="CC22" s="69">
        <f t="shared" si="7"/>
        <v>0</v>
      </c>
      <c r="CD22" s="70"/>
      <c r="CE22" s="71"/>
      <c r="CF22" s="71"/>
      <c r="CG22" s="71">
        <v>21</v>
      </c>
      <c r="CH22" s="71" t="str">
        <f t="shared" si="38"/>
        <v/>
      </c>
      <c r="CI22" s="71" t="str">
        <f t="shared" si="38"/>
        <v/>
      </c>
      <c r="CJ22" s="71" t="str">
        <f t="shared" si="38"/>
        <v/>
      </c>
      <c r="CK22" s="71" t="str">
        <f t="shared" si="38"/>
        <v/>
      </c>
      <c r="CL22" s="71" t="str">
        <f t="shared" si="38"/>
        <v/>
      </c>
      <c r="CM22" s="71" t="str">
        <f t="shared" si="38"/>
        <v/>
      </c>
      <c r="CN22" s="71" t="str">
        <f t="shared" si="38"/>
        <v/>
      </c>
      <c r="CO22" s="71" t="str">
        <f t="shared" si="38"/>
        <v/>
      </c>
      <c r="CP22" s="71" t="str">
        <f t="shared" si="38"/>
        <v/>
      </c>
      <c r="CQ22" s="71" t="str">
        <f t="shared" si="38"/>
        <v/>
      </c>
      <c r="CR22" s="71"/>
      <c r="CS22" s="71">
        <v>21</v>
      </c>
      <c r="CT22" s="71" t="str">
        <f t="shared" si="39"/>
        <v/>
      </c>
      <c r="CU22" s="71" t="str">
        <f t="shared" si="39"/>
        <v/>
      </c>
      <c r="CV22" s="71" t="str">
        <f t="shared" si="39"/>
        <v/>
      </c>
      <c r="CW22" s="71" t="str">
        <f t="shared" si="39"/>
        <v/>
      </c>
      <c r="CX22" s="71" t="str">
        <f t="shared" si="39"/>
        <v/>
      </c>
      <c r="CY22" s="71" t="str">
        <f t="shared" si="39"/>
        <v/>
      </c>
      <c r="CZ22" s="71" t="str">
        <f t="shared" si="39"/>
        <v/>
      </c>
      <c r="DA22" s="71" t="str">
        <f t="shared" si="39"/>
        <v/>
      </c>
      <c r="DB22" s="71" t="str">
        <f t="shared" si="39"/>
        <v/>
      </c>
      <c r="DC22" s="72" t="str">
        <f t="shared" si="39"/>
        <v/>
      </c>
    </row>
    <row r="23" spans="1:107" x14ac:dyDescent="0.35">
      <c r="A23" s="52">
        <v>51</v>
      </c>
      <c r="B23" s="52">
        <v>22</v>
      </c>
      <c r="C23" s="52">
        <v>3</v>
      </c>
      <c r="D23" s="52">
        <v>1</v>
      </c>
      <c r="E23" s="80" t="s">
        <v>208</v>
      </c>
      <c r="F23" s="55">
        <v>0.55000000000000004</v>
      </c>
      <c r="G23" s="53">
        <v>967</v>
      </c>
      <c r="H23" s="76">
        <f t="shared" si="40"/>
        <v>531.85</v>
      </c>
      <c r="I23" s="77">
        <v>353</v>
      </c>
      <c r="J23" s="58">
        <f t="shared" si="41"/>
        <v>194.15</v>
      </c>
      <c r="K23" s="57"/>
      <c r="L23" s="58">
        <f t="shared" si="11"/>
        <v>0</v>
      </c>
      <c r="M23" s="77">
        <v>451</v>
      </c>
      <c r="N23" s="58">
        <f t="shared" si="42"/>
        <v>248.05</v>
      </c>
      <c r="O23" s="77">
        <v>720</v>
      </c>
      <c r="P23" s="58">
        <f t="shared" si="43"/>
        <v>396.00000000000006</v>
      </c>
      <c r="Q23" s="77">
        <v>556</v>
      </c>
      <c r="R23" s="58">
        <f t="shared" si="44"/>
        <v>305.8</v>
      </c>
      <c r="S23" s="77">
        <v>714</v>
      </c>
      <c r="T23" s="58">
        <f t="shared" si="45"/>
        <v>392.70000000000005</v>
      </c>
      <c r="U23" s="57">
        <v>544</v>
      </c>
      <c r="V23" s="58">
        <f t="shared" si="46"/>
        <v>299.20000000000005</v>
      </c>
      <c r="W23" s="77">
        <v>939</v>
      </c>
      <c r="X23" s="58">
        <f t="shared" si="47"/>
        <v>516.45000000000005</v>
      </c>
      <c r="Y23" s="57">
        <v>626</v>
      </c>
      <c r="Z23" s="58">
        <f t="shared" si="48"/>
        <v>344.3</v>
      </c>
      <c r="AA23" s="57">
        <v>796</v>
      </c>
      <c r="AB23" s="58">
        <f t="shared" si="49"/>
        <v>437.8</v>
      </c>
      <c r="AC23" s="57">
        <v>666</v>
      </c>
      <c r="AD23" s="58">
        <f t="shared" si="50"/>
        <v>366.3</v>
      </c>
      <c r="AE23" s="57">
        <v>508</v>
      </c>
      <c r="AF23" s="58">
        <f t="shared" si="51"/>
        <v>279.40000000000003</v>
      </c>
      <c r="AG23" s="57">
        <v>601</v>
      </c>
      <c r="AH23" s="58">
        <f t="shared" si="52"/>
        <v>330.55</v>
      </c>
      <c r="AI23" s="61">
        <v>542</v>
      </c>
      <c r="AJ23" s="58">
        <f t="shared" si="53"/>
        <v>298.10000000000002</v>
      </c>
      <c r="AK23" s="61">
        <v>498</v>
      </c>
      <c r="AL23" s="58">
        <f t="shared" si="54"/>
        <v>273.90000000000003</v>
      </c>
      <c r="AM23" s="61">
        <v>779</v>
      </c>
      <c r="AN23" s="58">
        <f t="shared" si="55"/>
        <v>428.45000000000005</v>
      </c>
      <c r="AO23" s="61">
        <v>549</v>
      </c>
      <c r="AP23" s="58">
        <f t="shared" si="56"/>
        <v>301.95000000000005</v>
      </c>
      <c r="AQ23" s="61">
        <v>612</v>
      </c>
      <c r="AR23" s="58">
        <f t="shared" si="57"/>
        <v>336.6</v>
      </c>
      <c r="AS23" s="57">
        <v>673</v>
      </c>
      <c r="AT23" s="58">
        <f t="shared" si="58"/>
        <v>370.15000000000003</v>
      </c>
      <c r="AU23" s="57">
        <v>214</v>
      </c>
      <c r="AV23" s="58">
        <f t="shared" si="59"/>
        <v>117.7</v>
      </c>
      <c r="AW23" s="57">
        <v>249</v>
      </c>
      <c r="AX23" s="58">
        <f t="shared" si="60"/>
        <v>136.95000000000002</v>
      </c>
      <c r="AY23" s="57">
        <v>291</v>
      </c>
      <c r="AZ23" s="58">
        <f t="shared" si="61"/>
        <v>160.05000000000001</v>
      </c>
      <c r="BA23" s="57">
        <v>211</v>
      </c>
      <c r="BB23" s="58">
        <f t="shared" si="62"/>
        <v>116.05000000000001</v>
      </c>
      <c r="BC23" s="57">
        <v>196</v>
      </c>
      <c r="BD23" s="58">
        <f t="shared" si="63"/>
        <v>107.80000000000001</v>
      </c>
      <c r="BE23" s="57">
        <v>229</v>
      </c>
      <c r="BF23" s="58">
        <f t="shared" si="64"/>
        <v>125.95000000000002</v>
      </c>
      <c r="BG23" s="57">
        <v>257</v>
      </c>
      <c r="BH23" s="58">
        <f t="shared" si="65"/>
        <v>141.35000000000002</v>
      </c>
      <c r="BI23" s="57">
        <v>264</v>
      </c>
      <c r="BJ23" s="58">
        <f t="shared" si="66"/>
        <v>145.20000000000002</v>
      </c>
      <c r="BK23" s="62">
        <f t="shared" si="67"/>
        <v>353</v>
      </c>
      <c r="BL23" s="63">
        <f t="shared" si="67"/>
        <v>194.15</v>
      </c>
      <c r="BO23" s="64">
        <v>48</v>
      </c>
      <c r="BP23" s="64">
        <v>3</v>
      </c>
      <c r="BQ23" s="64">
        <v>48.03</v>
      </c>
      <c r="BR23" s="34" t="s">
        <v>179</v>
      </c>
      <c r="BS23" s="65" t="s">
        <v>208</v>
      </c>
      <c r="BT23" s="87" t="s">
        <v>209</v>
      </c>
      <c r="BU23" s="37" t="s">
        <v>175</v>
      </c>
      <c r="BV23" s="66">
        <f t="shared" si="5"/>
        <v>41390.269999999997</v>
      </c>
      <c r="BW23" s="66">
        <f t="shared" si="1"/>
        <v>3066.2341112988875</v>
      </c>
      <c r="BX23" s="66">
        <f t="shared" si="2"/>
        <v>7.4081036709808545</v>
      </c>
      <c r="BY23" s="67"/>
      <c r="BZ23" s="68">
        <v>22</v>
      </c>
      <c r="CA23" s="88" t="s">
        <v>21</v>
      </c>
      <c r="CB23" s="69">
        <f t="shared" si="6"/>
        <v>0</v>
      </c>
      <c r="CC23" s="69">
        <f t="shared" si="7"/>
        <v>0</v>
      </c>
      <c r="CD23" s="70"/>
      <c r="CE23" s="71"/>
      <c r="CF23" s="71"/>
      <c r="CG23" s="71">
        <v>22</v>
      </c>
      <c r="CH23" s="71" t="str">
        <f t="shared" si="38"/>
        <v/>
      </c>
      <c r="CI23" s="71" t="str">
        <f t="shared" si="38"/>
        <v/>
      </c>
      <c r="CJ23" s="71" t="str">
        <f t="shared" si="38"/>
        <v/>
      </c>
      <c r="CK23" s="71" t="str">
        <f t="shared" si="38"/>
        <v/>
      </c>
      <c r="CL23" s="71" t="str">
        <f t="shared" si="38"/>
        <v/>
      </c>
      <c r="CM23" s="71" t="str">
        <f t="shared" si="38"/>
        <v/>
      </c>
      <c r="CN23" s="71" t="str">
        <f t="shared" si="38"/>
        <v/>
      </c>
      <c r="CO23" s="71" t="str">
        <f t="shared" si="38"/>
        <v/>
      </c>
      <c r="CP23" s="71" t="str">
        <f t="shared" si="38"/>
        <v/>
      </c>
      <c r="CQ23" s="71" t="str">
        <f t="shared" si="38"/>
        <v/>
      </c>
      <c r="CR23" s="71"/>
      <c r="CS23" s="71">
        <v>22</v>
      </c>
      <c r="CT23" s="71" t="str">
        <f t="shared" si="39"/>
        <v/>
      </c>
      <c r="CU23" s="71" t="str">
        <f t="shared" si="39"/>
        <v/>
      </c>
      <c r="CV23" s="71" t="str">
        <f t="shared" si="39"/>
        <v/>
      </c>
      <c r="CW23" s="71" t="str">
        <f t="shared" si="39"/>
        <v/>
      </c>
      <c r="CX23" s="71" t="str">
        <f t="shared" si="39"/>
        <v/>
      </c>
      <c r="CY23" s="71" t="str">
        <f t="shared" si="39"/>
        <v/>
      </c>
      <c r="CZ23" s="71" t="str">
        <f t="shared" si="39"/>
        <v/>
      </c>
      <c r="DA23" s="71" t="str">
        <f t="shared" si="39"/>
        <v/>
      </c>
      <c r="DB23" s="71" t="str">
        <f t="shared" si="39"/>
        <v/>
      </c>
      <c r="DC23" s="72" t="str">
        <f t="shared" si="39"/>
        <v/>
      </c>
    </row>
    <row r="24" spans="1:107" x14ac:dyDescent="0.35">
      <c r="A24" s="52">
        <v>52</v>
      </c>
      <c r="B24" s="52">
        <v>23</v>
      </c>
      <c r="C24" s="52">
        <v>3</v>
      </c>
      <c r="D24" s="52">
        <v>2</v>
      </c>
      <c r="E24" s="80" t="s">
        <v>210</v>
      </c>
      <c r="F24" s="55">
        <v>0.46</v>
      </c>
      <c r="G24" s="53">
        <v>281</v>
      </c>
      <c r="H24" s="76">
        <f t="shared" si="40"/>
        <v>129.26000000000002</v>
      </c>
      <c r="I24" s="77">
        <v>103</v>
      </c>
      <c r="J24" s="58">
        <f t="shared" si="41"/>
        <v>47.38</v>
      </c>
      <c r="K24" s="57"/>
      <c r="L24" s="58">
        <f t="shared" si="11"/>
        <v>0</v>
      </c>
      <c r="M24" s="77">
        <v>322</v>
      </c>
      <c r="N24" s="58">
        <f t="shared" si="42"/>
        <v>148.12</v>
      </c>
      <c r="O24" s="77">
        <v>328</v>
      </c>
      <c r="P24" s="58">
        <f t="shared" si="43"/>
        <v>150.88</v>
      </c>
      <c r="Q24" s="77">
        <v>366</v>
      </c>
      <c r="R24" s="58">
        <f t="shared" si="44"/>
        <v>168.36</v>
      </c>
      <c r="S24" s="77">
        <v>443</v>
      </c>
      <c r="T24" s="58">
        <f t="shared" si="45"/>
        <v>203.78</v>
      </c>
      <c r="U24" s="57">
        <v>534</v>
      </c>
      <c r="V24" s="58">
        <f t="shared" si="46"/>
        <v>245.64000000000001</v>
      </c>
      <c r="W24" s="77">
        <v>575</v>
      </c>
      <c r="X24" s="58">
        <f t="shared" si="47"/>
        <v>264.5</v>
      </c>
      <c r="Y24" s="57">
        <v>553</v>
      </c>
      <c r="Z24" s="58">
        <f t="shared" si="48"/>
        <v>254.38000000000002</v>
      </c>
      <c r="AA24" s="57">
        <v>468</v>
      </c>
      <c r="AB24" s="58">
        <f t="shared" si="49"/>
        <v>215.28</v>
      </c>
      <c r="AC24" s="57">
        <v>492</v>
      </c>
      <c r="AD24" s="58">
        <f t="shared" si="50"/>
        <v>226.32000000000002</v>
      </c>
      <c r="AE24" s="57">
        <v>537</v>
      </c>
      <c r="AF24" s="58">
        <f t="shared" si="51"/>
        <v>247.02</v>
      </c>
      <c r="AG24" s="57">
        <v>480</v>
      </c>
      <c r="AH24" s="58">
        <f t="shared" si="52"/>
        <v>220.8</v>
      </c>
      <c r="AI24" s="61">
        <v>169</v>
      </c>
      <c r="AJ24" s="58">
        <f t="shared" si="53"/>
        <v>77.740000000000009</v>
      </c>
      <c r="AK24" s="61">
        <v>74</v>
      </c>
      <c r="AL24" s="58">
        <f t="shared" si="54"/>
        <v>34.04</v>
      </c>
      <c r="AM24" s="61">
        <v>75</v>
      </c>
      <c r="AN24" s="58">
        <f t="shared" si="55"/>
        <v>34.5</v>
      </c>
      <c r="AO24" s="61">
        <v>63</v>
      </c>
      <c r="AP24" s="58">
        <f t="shared" si="56"/>
        <v>28.98</v>
      </c>
      <c r="AQ24" s="61">
        <v>38</v>
      </c>
      <c r="AR24" s="58">
        <f t="shared" si="57"/>
        <v>17.48</v>
      </c>
      <c r="AS24" s="57">
        <v>74</v>
      </c>
      <c r="AT24" s="58">
        <f t="shared" si="58"/>
        <v>34.04</v>
      </c>
      <c r="AU24" s="57">
        <v>48</v>
      </c>
      <c r="AV24" s="58">
        <f t="shared" si="59"/>
        <v>22.080000000000002</v>
      </c>
      <c r="AW24" s="57">
        <v>78</v>
      </c>
      <c r="AX24" s="58">
        <f t="shared" si="60"/>
        <v>35.880000000000003</v>
      </c>
      <c r="AY24" s="57">
        <v>73</v>
      </c>
      <c r="AZ24" s="58">
        <f t="shared" si="61"/>
        <v>33.58</v>
      </c>
      <c r="BA24" s="57">
        <v>60</v>
      </c>
      <c r="BB24" s="58">
        <f t="shared" si="62"/>
        <v>27.6</v>
      </c>
      <c r="BC24" s="57">
        <v>56</v>
      </c>
      <c r="BD24" s="58">
        <f t="shared" si="63"/>
        <v>25.76</v>
      </c>
      <c r="BE24" s="57">
        <v>93</v>
      </c>
      <c r="BF24" s="58">
        <f t="shared" si="64"/>
        <v>42.78</v>
      </c>
      <c r="BG24" s="57">
        <v>145</v>
      </c>
      <c r="BH24" s="58">
        <f t="shared" si="65"/>
        <v>66.7</v>
      </c>
      <c r="BI24" s="57">
        <v>91</v>
      </c>
      <c r="BJ24" s="58">
        <f t="shared" si="66"/>
        <v>41.86</v>
      </c>
      <c r="BK24" s="62">
        <f t="shared" si="67"/>
        <v>103</v>
      </c>
      <c r="BL24" s="63">
        <f t="shared" si="67"/>
        <v>47.38</v>
      </c>
      <c r="BO24" s="65">
        <v>48</v>
      </c>
      <c r="BP24" s="65">
        <v>4</v>
      </c>
      <c r="BQ24" s="65">
        <v>48.04</v>
      </c>
      <c r="BR24" s="34" t="s">
        <v>179</v>
      </c>
      <c r="BS24" s="65" t="s">
        <v>210</v>
      </c>
      <c r="BT24" s="65" t="s">
        <v>206</v>
      </c>
      <c r="BU24" s="37" t="s">
        <v>175</v>
      </c>
      <c r="BV24" s="66">
        <f t="shared" si="5"/>
        <v>18156.531773333336</v>
      </c>
      <c r="BW24" s="66">
        <f t="shared" si="1"/>
        <v>5068.8014705870073</v>
      </c>
      <c r="BX24" s="66">
        <f t="shared" si="2"/>
        <v>27.917234050346568</v>
      </c>
      <c r="BY24" s="67"/>
      <c r="BZ24" s="68">
        <v>23</v>
      </c>
      <c r="CA24" s="74" t="s">
        <v>22</v>
      </c>
      <c r="CB24" s="69">
        <f t="shared" si="6"/>
        <v>0</v>
      </c>
      <c r="CC24" s="69">
        <f t="shared" si="7"/>
        <v>0</v>
      </c>
      <c r="CD24" s="70"/>
      <c r="CE24" s="71"/>
      <c r="CF24" s="71"/>
      <c r="CG24" s="71">
        <v>23</v>
      </c>
      <c r="CH24" s="71" t="str">
        <f t="shared" si="38"/>
        <v/>
      </c>
      <c r="CI24" s="71" t="str">
        <f t="shared" si="38"/>
        <v/>
      </c>
      <c r="CJ24" s="71" t="str">
        <f t="shared" si="38"/>
        <v/>
      </c>
      <c r="CK24" s="71" t="str">
        <f t="shared" si="38"/>
        <v/>
      </c>
      <c r="CL24" s="71" t="str">
        <f t="shared" si="38"/>
        <v/>
      </c>
      <c r="CM24" s="71" t="str">
        <f t="shared" si="38"/>
        <v/>
      </c>
      <c r="CN24" s="71" t="str">
        <f t="shared" si="38"/>
        <v/>
      </c>
      <c r="CO24" s="71" t="str">
        <f t="shared" si="38"/>
        <v/>
      </c>
      <c r="CP24" s="71" t="str">
        <f t="shared" si="38"/>
        <v/>
      </c>
      <c r="CQ24" s="71" t="str">
        <f t="shared" si="38"/>
        <v/>
      </c>
      <c r="CR24" s="71"/>
      <c r="CS24" s="71">
        <v>23</v>
      </c>
      <c r="CT24" s="71" t="str">
        <f t="shared" si="39"/>
        <v/>
      </c>
      <c r="CU24" s="71" t="str">
        <f t="shared" si="39"/>
        <v/>
      </c>
      <c r="CV24" s="71" t="str">
        <f t="shared" si="39"/>
        <v/>
      </c>
      <c r="CW24" s="71" t="str">
        <f t="shared" si="39"/>
        <v/>
      </c>
      <c r="CX24" s="71" t="str">
        <f t="shared" si="39"/>
        <v/>
      </c>
      <c r="CY24" s="71" t="str">
        <f t="shared" si="39"/>
        <v/>
      </c>
      <c r="CZ24" s="71" t="str">
        <f t="shared" si="39"/>
        <v/>
      </c>
      <c r="DA24" s="71" t="str">
        <f t="shared" si="39"/>
        <v/>
      </c>
      <c r="DB24" s="71" t="str">
        <f t="shared" si="39"/>
        <v/>
      </c>
      <c r="DC24" s="72" t="str">
        <f t="shared" si="39"/>
        <v/>
      </c>
    </row>
    <row r="25" spans="1:107" x14ac:dyDescent="0.35">
      <c r="A25" s="52">
        <v>46</v>
      </c>
      <c r="B25" s="52">
        <v>24</v>
      </c>
      <c r="C25" s="52">
        <v>3</v>
      </c>
      <c r="D25" s="52">
        <v>1</v>
      </c>
      <c r="E25" s="80" t="s">
        <v>211</v>
      </c>
      <c r="F25" s="55">
        <v>0.55000000000000004</v>
      </c>
      <c r="G25" s="53">
        <v>2543</v>
      </c>
      <c r="H25" s="76">
        <f t="shared" si="40"/>
        <v>1398.65</v>
      </c>
      <c r="I25" s="77">
        <v>928</v>
      </c>
      <c r="J25" s="58">
        <f t="shared" si="41"/>
        <v>510.40000000000003</v>
      </c>
      <c r="K25" s="57"/>
      <c r="L25" s="58">
        <f t="shared" si="11"/>
        <v>0</v>
      </c>
      <c r="M25" s="77">
        <v>1507</v>
      </c>
      <c r="N25" s="58">
        <f t="shared" si="42"/>
        <v>828.85</v>
      </c>
      <c r="O25" s="77">
        <v>1836</v>
      </c>
      <c r="P25" s="58">
        <f t="shared" si="43"/>
        <v>1009.8000000000001</v>
      </c>
      <c r="Q25" s="77">
        <v>1836</v>
      </c>
      <c r="R25" s="58">
        <f t="shared" si="44"/>
        <v>1009.8000000000001</v>
      </c>
      <c r="S25" s="77">
        <v>1836</v>
      </c>
      <c r="T25" s="58">
        <f t="shared" si="45"/>
        <v>1009.8000000000001</v>
      </c>
      <c r="U25" s="57">
        <v>1836</v>
      </c>
      <c r="V25" s="58">
        <f t="shared" si="46"/>
        <v>1009.8000000000001</v>
      </c>
      <c r="W25" s="77">
        <v>1691</v>
      </c>
      <c r="X25" s="58">
        <f t="shared" si="47"/>
        <v>930.05000000000007</v>
      </c>
      <c r="Y25" s="57">
        <v>1097</v>
      </c>
      <c r="Z25" s="58">
        <f t="shared" si="48"/>
        <v>603.35</v>
      </c>
      <c r="AA25" s="57">
        <v>797</v>
      </c>
      <c r="AB25" s="58">
        <f t="shared" si="49"/>
        <v>438.35</v>
      </c>
      <c r="AC25" s="57">
        <v>867</v>
      </c>
      <c r="AD25" s="58">
        <f t="shared" si="50"/>
        <v>476.85</v>
      </c>
      <c r="AE25" s="57">
        <v>933</v>
      </c>
      <c r="AF25" s="58">
        <f t="shared" si="51"/>
        <v>513.15000000000009</v>
      </c>
      <c r="AG25" s="57">
        <v>954</v>
      </c>
      <c r="AH25" s="58">
        <f t="shared" si="52"/>
        <v>524.70000000000005</v>
      </c>
      <c r="AI25" s="61">
        <v>805</v>
      </c>
      <c r="AJ25" s="58">
        <f t="shared" si="53"/>
        <v>442.75000000000006</v>
      </c>
      <c r="AK25" s="61">
        <v>769</v>
      </c>
      <c r="AL25" s="58">
        <f t="shared" si="54"/>
        <v>422.95000000000005</v>
      </c>
      <c r="AM25" s="61">
        <v>808</v>
      </c>
      <c r="AN25" s="58">
        <f t="shared" si="55"/>
        <v>444.40000000000003</v>
      </c>
      <c r="AO25" s="61">
        <v>596</v>
      </c>
      <c r="AP25" s="58">
        <f t="shared" si="56"/>
        <v>327.8</v>
      </c>
      <c r="AQ25" s="61">
        <v>363</v>
      </c>
      <c r="AR25" s="58">
        <f t="shared" si="57"/>
        <v>199.65</v>
      </c>
      <c r="AS25" s="57">
        <v>352</v>
      </c>
      <c r="AT25" s="58">
        <f t="shared" si="58"/>
        <v>193.60000000000002</v>
      </c>
      <c r="AU25" s="57">
        <v>382</v>
      </c>
      <c r="AV25" s="58">
        <f t="shared" si="59"/>
        <v>210.10000000000002</v>
      </c>
      <c r="AW25" s="57">
        <v>424</v>
      </c>
      <c r="AX25" s="58">
        <f t="shared" si="60"/>
        <v>233.20000000000002</v>
      </c>
      <c r="AY25" s="57">
        <v>354</v>
      </c>
      <c r="AZ25" s="58">
        <f t="shared" si="61"/>
        <v>194.70000000000002</v>
      </c>
      <c r="BA25" s="57">
        <v>208</v>
      </c>
      <c r="BB25" s="58">
        <f t="shared" si="62"/>
        <v>114.4</v>
      </c>
      <c r="BC25" s="57">
        <v>237</v>
      </c>
      <c r="BD25" s="58">
        <f t="shared" si="63"/>
        <v>130.35000000000002</v>
      </c>
      <c r="BE25" s="57">
        <v>289</v>
      </c>
      <c r="BF25" s="58">
        <f t="shared" si="64"/>
        <v>158.95000000000002</v>
      </c>
      <c r="BG25" s="57">
        <v>226</v>
      </c>
      <c r="BH25" s="58">
        <f t="shared" si="65"/>
        <v>124.30000000000001</v>
      </c>
      <c r="BI25" s="57">
        <v>268</v>
      </c>
      <c r="BJ25" s="58">
        <f t="shared" si="66"/>
        <v>147.4</v>
      </c>
      <c r="BK25" s="62">
        <f t="shared" si="67"/>
        <v>928</v>
      </c>
      <c r="BL25" s="63">
        <f t="shared" si="67"/>
        <v>510.40000000000003</v>
      </c>
      <c r="BO25" s="65">
        <v>48</v>
      </c>
      <c r="BP25" s="65">
        <v>5</v>
      </c>
      <c r="BQ25" s="65">
        <v>48.05</v>
      </c>
      <c r="BR25" s="34" t="s">
        <v>179</v>
      </c>
      <c r="BS25" s="65" t="s">
        <v>212</v>
      </c>
      <c r="BT25" s="65" t="s">
        <v>206</v>
      </c>
      <c r="BU25" s="37" t="s">
        <v>175</v>
      </c>
      <c r="BV25" s="66">
        <f t="shared" si="5"/>
        <v>43211.441879999998</v>
      </c>
      <c r="BW25" s="66">
        <f t="shared" si="1"/>
        <v>5310.8732686704761</v>
      </c>
      <c r="BX25" s="66">
        <f t="shared" si="2"/>
        <v>12.290432898348996</v>
      </c>
      <c r="BY25" s="67"/>
      <c r="BZ25" s="68">
        <v>24</v>
      </c>
      <c r="CA25" s="74" t="s">
        <v>23</v>
      </c>
      <c r="CB25" s="69">
        <f t="shared" si="6"/>
        <v>0</v>
      </c>
      <c r="CC25" s="69">
        <f t="shared" si="7"/>
        <v>0</v>
      </c>
      <c r="CD25" s="70"/>
      <c r="CE25" s="71"/>
      <c r="CF25" s="71"/>
      <c r="CG25" s="71">
        <v>24</v>
      </c>
      <c r="CH25" s="71" t="str">
        <f t="shared" si="38"/>
        <v/>
      </c>
      <c r="CI25" s="71" t="str">
        <f t="shared" si="38"/>
        <v/>
      </c>
      <c r="CJ25" s="71" t="str">
        <f t="shared" si="38"/>
        <v/>
      </c>
      <c r="CK25" s="71" t="str">
        <f t="shared" si="38"/>
        <v/>
      </c>
      <c r="CL25" s="71" t="str">
        <f t="shared" si="38"/>
        <v/>
      </c>
      <c r="CM25" s="71" t="str">
        <f t="shared" si="38"/>
        <v/>
      </c>
      <c r="CN25" s="71" t="str">
        <f t="shared" si="38"/>
        <v/>
      </c>
      <c r="CO25" s="71" t="str">
        <f t="shared" si="38"/>
        <v/>
      </c>
      <c r="CP25" s="71" t="str">
        <f t="shared" si="38"/>
        <v/>
      </c>
      <c r="CQ25" s="71" t="str">
        <f t="shared" si="38"/>
        <v/>
      </c>
      <c r="CR25" s="71"/>
      <c r="CS25" s="71">
        <v>24</v>
      </c>
      <c r="CT25" s="71" t="str">
        <f t="shared" si="39"/>
        <v/>
      </c>
      <c r="CU25" s="71" t="str">
        <f t="shared" si="39"/>
        <v/>
      </c>
      <c r="CV25" s="71" t="str">
        <f t="shared" si="39"/>
        <v/>
      </c>
      <c r="CW25" s="71" t="str">
        <f t="shared" si="39"/>
        <v/>
      </c>
      <c r="CX25" s="71" t="str">
        <f t="shared" si="39"/>
        <v/>
      </c>
      <c r="CY25" s="71" t="str">
        <f t="shared" si="39"/>
        <v/>
      </c>
      <c r="CZ25" s="71" t="str">
        <f t="shared" si="39"/>
        <v/>
      </c>
      <c r="DA25" s="71" t="str">
        <f t="shared" si="39"/>
        <v/>
      </c>
      <c r="DB25" s="71" t="str">
        <f t="shared" si="39"/>
        <v/>
      </c>
      <c r="DC25" s="72" t="str">
        <f t="shared" si="39"/>
        <v/>
      </c>
    </row>
    <row r="26" spans="1:107" x14ac:dyDescent="0.35">
      <c r="A26" s="52">
        <v>53</v>
      </c>
      <c r="B26" s="52">
        <v>25</v>
      </c>
      <c r="C26" s="52">
        <v>3</v>
      </c>
      <c r="D26" s="52">
        <v>2</v>
      </c>
      <c r="E26" s="80" t="s">
        <v>213</v>
      </c>
      <c r="F26" s="55">
        <v>0.46</v>
      </c>
      <c r="G26" s="53">
        <v>1230</v>
      </c>
      <c r="H26" s="76">
        <f t="shared" si="40"/>
        <v>565.80000000000007</v>
      </c>
      <c r="I26" s="77">
        <v>449</v>
      </c>
      <c r="J26" s="58">
        <f t="shared" si="41"/>
        <v>206.54000000000002</v>
      </c>
      <c r="K26" s="57"/>
      <c r="L26" s="58">
        <f t="shared" si="11"/>
        <v>0</v>
      </c>
      <c r="M26" s="77">
        <v>939</v>
      </c>
      <c r="N26" s="58">
        <f t="shared" si="42"/>
        <v>431.94</v>
      </c>
      <c r="O26" s="77">
        <v>1105</v>
      </c>
      <c r="P26" s="58">
        <f t="shared" si="43"/>
        <v>508.3</v>
      </c>
      <c r="Q26" s="77">
        <v>1082</v>
      </c>
      <c r="R26" s="58">
        <f t="shared" si="44"/>
        <v>497.72</v>
      </c>
      <c r="S26" s="77">
        <v>971</v>
      </c>
      <c r="T26" s="58">
        <f t="shared" si="45"/>
        <v>446.66</v>
      </c>
      <c r="U26" s="57">
        <v>739</v>
      </c>
      <c r="V26" s="58">
        <f t="shared" si="46"/>
        <v>339.94</v>
      </c>
      <c r="W26" s="77">
        <v>1082</v>
      </c>
      <c r="X26" s="58">
        <f t="shared" si="47"/>
        <v>497.72</v>
      </c>
      <c r="Y26" s="57">
        <v>1311</v>
      </c>
      <c r="Z26" s="58">
        <f t="shared" si="48"/>
        <v>603.06000000000006</v>
      </c>
      <c r="AA26" s="57">
        <v>860</v>
      </c>
      <c r="AB26" s="58">
        <f t="shared" si="49"/>
        <v>395.6</v>
      </c>
      <c r="AC26" s="57">
        <v>920</v>
      </c>
      <c r="AD26" s="58">
        <f t="shared" si="50"/>
        <v>423.20000000000005</v>
      </c>
      <c r="AE26" s="57">
        <v>890</v>
      </c>
      <c r="AF26" s="58">
        <f t="shared" si="51"/>
        <v>409.40000000000003</v>
      </c>
      <c r="AG26" s="57">
        <v>783</v>
      </c>
      <c r="AH26" s="58">
        <f t="shared" si="52"/>
        <v>360.18</v>
      </c>
      <c r="AI26" s="61">
        <v>819</v>
      </c>
      <c r="AJ26" s="58">
        <f t="shared" si="53"/>
        <v>376.74</v>
      </c>
      <c r="AK26" s="61">
        <v>810</v>
      </c>
      <c r="AL26" s="58">
        <f t="shared" si="54"/>
        <v>372.6</v>
      </c>
      <c r="AM26" s="61">
        <v>1008</v>
      </c>
      <c r="AN26" s="58">
        <f t="shared" si="55"/>
        <v>463.68</v>
      </c>
      <c r="AO26" s="61">
        <v>1051</v>
      </c>
      <c r="AP26" s="58">
        <f t="shared" si="56"/>
        <v>483.46000000000004</v>
      </c>
      <c r="AQ26" s="61">
        <v>694</v>
      </c>
      <c r="AR26" s="58">
        <f t="shared" si="57"/>
        <v>319.24</v>
      </c>
      <c r="AS26" s="57">
        <v>253</v>
      </c>
      <c r="AT26" s="58">
        <f t="shared" si="58"/>
        <v>116.38000000000001</v>
      </c>
      <c r="AU26" s="57">
        <v>142</v>
      </c>
      <c r="AV26" s="58">
        <f t="shared" si="59"/>
        <v>65.320000000000007</v>
      </c>
      <c r="AW26" s="57">
        <v>163</v>
      </c>
      <c r="AX26" s="58">
        <f t="shared" si="60"/>
        <v>74.98</v>
      </c>
      <c r="AY26" s="57">
        <v>145</v>
      </c>
      <c r="AZ26" s="58">
        <f t="shared" si="61"/>
        <v>66.7</v>
      </c>
      <c r="BA26" s="57">
        <v>116</v>
      </c>
      <c r="BB26" s="58">
        <f t="shared" si="62"/>
        <v>53.36</v>
      </c>
      <c r="BC26" s="57">
        <v>159</v>
      </c>
      <c r="BD26" s="58">
        <f t="shared" si="63"/>
        <v>73.14</v>
      </c>
      <c r="BE26" s="57">
        <v>98</v>
      </c>
      <c r="BF26" s="58">
        <f t="shared" si="64"/>
        <v>45.080000000000005</v>
      </c>
      <c r="BG26" s="57">
        <v>189</v>
      </c>
      <c r="BH26" s="58">
        <f t="shared" si="65"/>
        <v>86.94</v>
      </c>
      <c r="BI26" s="57">
        <v>239</v>
      </c>
      <c r="BJ26" s="58">
        <f t="shared" si="66"/>
        <v>109.94</v>
      </c>
      <c r="BK26" s="62">
        <f t="shared" si="67"/>
        <v>449</v>
      </c>
      <c r="BL26" s="63">
        <f t="shared" si="67"/>
        <v>206.54000000000002</v>
      </c>
      <c r="BO26" s="65">
        <v>48</v>
      </c>
      <c r="BP26" s="65">
        <v>6</v>
      </c>
      <c r="BQ26" s="65">
        <v>48.06</v>
      </c>
      <c r="BR26" s="34" t="s">
        <v>179</v>
      </c>
      <c r="BS26" s="65" t="s">
        <v>214</v>
      </c>
      <c r="BT26" s="65" t="s">
        <v>206</v>
      </c>
      <c r="BU26" s="37" t="s">
        <v>175</v>
      </c>
      <c r="BV26" s="66">
        <f t="shared" si="5"/>
        <v>29028.376026666669</v>
      </c>
      <c r="BW26" s="66">
        <f t="shared" si="1"/>
        <v>11835.397953206022</v>
      </c>
      <c r="BX26" s="66">
        <f t="shared" si="2"/>
        <v>40.771822517158853</v>
      </c>
      <c r="BY26" s="67"/>
      <c r="BZ26" s="68">
        <v>25</v>
      </c>
      <c r="CA26" s="74" t="s">
        <v>24</v>
      </c>
      <c r="CB26" s="69">
        <f t="shared" si="6"/>
        <v>0</v>
      </c>
      <c r="CC26" s="69">
        <f t="shared" si="7"/>
        <v>0</v>
      </c>
      <c r="CD26" s="70"/>
      <c r="CE26" s="71"/>
      <c r="CF26" s="71"/>
      <c r="CG26" s="71">
        <v>25</v>
      </c>
      <c r="CH26" s="71" t="str">
        <f t="shared" si="38"/>
        <v/>
      </c>
      <c r="CI26" s="71" t="str">
        <f t="shared" si="38"/>
        <v/>
      </c>
      <c r="CJ26" s="71" t="str">
        <f t="shared" si="38"/>
        <v/>
      </c>
      <c r="CK26" s="71" t="str">
        <f t="shared" si="38"/>
        <v/>
      </c>
      <c r="CL26" s="71" t="str">
        <f t="shared" si="38"/>
        <v/>
      </c>
      <c r="CM26" s="71" t="str">
        <f t="shared" si="38"/>
        <v/>
      </c>
      <c r="CN26" s="71" t="str">
        <f t="shared" si="38"/>
        <v/>
      </c>
      <c r="CO26" s="71" t="str">
        <f t="shared" si="38"/>
        <v/>
      </c>
      <c r="CP26" s="71" t="str">
        <f t="shared" si="38"/>
        <v/>
      </c>
      <c r="CQ26" s="71" t="str">
        <f t="shared" si="38"/>
        <v/>
      </c>
      <c r="CR26" s="71"/>
      <c r="CS26" s="71">
        <v>25</v>
      </c>
      <c r="CT26" s="71" t="str">
        <f t="shared" si="39"/>
        <v/>
      </c>
      <c r="CU26" s="71" t="str">
        <f t="shared" si="39"/>
        <v/>
      </c>
      <c r="CV26" s="71" t="str">
        <f t="shared" si="39"/>
        <v/>
      </c>
      <c r="CW26" s="71" t="str">
        <f t="shared" si="39"/>
        <v/>
      </c>
      <c r="CX26" s="71" t="str">
        <f t="shared" si="39"/>
        <v/>
      </c>
      <c r="CY26" s="71" t="str">
        <f t="shared" si="39"/>
        <v/>
      </c>
      <c r="CZ26" s="71" t="str">
        <f t="shared" si="39"/>
        <v/>
      </c>
      <c r="DA26" s="71" t="str">
        <f t="shared" si="39"/>
        <v/>
      </c>
      <c r="DB26" s="71" t="str">
        <f t="shared" si="39"/>
        <v/>
      </c>
      <c r="DC26" s="72" t="str">
        <f t="shared" si="39"/>
        <v/>
      </c>
    </row>
    <row r="27" spans="1:107" x14ac:dyDescent="0.35">
      <c r="A27" s="52">
        <v>54</v>
      </c>
      <c r="B27" s="52">
        <v>26</v>
      </c>
      <c r="C27" s="52">
        <v>3</v>
      </c>
      <c r="D27" s="52">
        <v>2</v>
      </c>
      <c r="E27" s="80" t="s">
        <v>215</v>
      </c>
      <c r="F27" s="55">
        <v>0.46</v>
      </c>
      <c r="G27" s="53">
        <v>557</v>
      </c>
      <c r="H27" s="76">
        <f t="shared" si="40"/>
        <v>256.22000000000003</v>
      </c>
      <c r="I27" s="77">
        <v>204</v>
      </c>
      <c r="J27" s="58">
        <f t="shared" si="41"/>
        <v>93.84</v>
      </c>
      <c r="K27" s="57"/>
      <c r="L27" s="58">
        <f t="shared" si="11"/>
        <v>0</v>
      </c>
      <c r="M27" s="77">
        <v>685</v>
      </c>
      <c r="N27" s="58">
        <f t="shared" si="42"/>
        <v>315.10000000000002</v>
      </c>
      <c r="O27" s="77">
        <v>671</v>
      </c>
      <c r="P27" s="58">
        <f t="shared" si="43"/>
        <v>308.66000000000003</v>
      </c>
      <c r="Q27" s="77">
        <v>740</v>
      </c>
      <c r="R27" s="58">
        <f t="shared" si="44"/>
        <v>340.40000000000003</v>
      </c>
      <c r="S27" s="77">
        <v>776</v>
      </c>
      <c r="T27" s="58">
        <f t="shared" si="45"/>
        <v>356.96000000000004</v>
      </c>
      <c r="U27" s="57">
        <v>729</v>
      </c>
      <c r="V27" s="58">
        <f t="shared" si="46"/>
        <v>335.34000000000003</v>
      </c>
      <c r="W27" s="77">
        <v>727</v>
      </c>
      <c r="X27" s="58">
        <f t="shared" si="47"/>
        <v>334.42</v>
      </c>
      <c r="Y27" s="57">
        <v>761</v>
      </c>
      <c r="Z27" s="58">
        <f t="shared" si="48"/>
        <v>350.06</v>
      </c>
      <c r="AA27" s="57">
        <v>819</v>
      </c>
      <c r="AB27" s="58">
        <f t="shared" si="49"/>
        <v>376.74</v>
      </c>
      <c r="AC27" s="57">
        <v>796</v>
      </c>
      <c r="AD27" s="58">
        <f t="shared" si="50"/>
        <v>366.16</v>
      </c>
      <c r="AE27" s="57">
        <v>769</v>
      </c>
      <c r="AF27" s="58">
        <f t="shared" si="51"/>
        <v>353.74</v>
      </c>
      <c r="AG27" s="57">
        <v>758</v>
      </c>
      <c r="AH27" s="58">
        <f t="shared" si="52"/>
        <v>348.68</v>
      </c>
      <c r="AI27" s="61">
        <v>761</v>
      </c>
      <c r="AJ27" s="58">
        <f t="shared" si="53"/>
        <v>350.06</v>
      </c>
      <c r="AK27" s="61">
        <v>868</v>
      </c>
      <c r="AL27" s="58">
        <f t="shared" si="54"/>
        <v>399.28000000000003</v>
      </c>
      <c r="AM27" s="61">
        <v>911</v>
      </c>
      <c r="AN27" s="58">
        <f t="shared" si="55"/>
        <v>419.06</v>
      </c>
      <c r="AO27" s="61">
        <v>725</v>
      </c>
      <c r="AP27" s="58">
        <f t="shared" si="56"/>
        <v>333.5</v>
      </c>
      <c r="AQ27" s="61">
        <v>194</v>
      </c>
      <c r="AR27" s="58">
        <f t="shared" si="57"/>
        <v>89.240000000000009</v>
      </c>
      <c r="AS27" s="57">
        <v>262</v>
      </c>
      <c r="AT27" s="58">
        <f t="shared" si="58"/>
        <v>120.52000000000001</v>
      </c>
      <c r="AU27" s="57">
        <v>99</v>
      </c>
      <c r="AV27" s="58">
        <f t="shared" si="59"/>
        <v>45.54</v>
      </c>
      <c r="AW27" s="57">
        <v>99</v>
      </c>
      <c r="AX27" s="58">
        <f t="shared" si="60"/>
        <v>45.54</v>
      </c>
      <c r="AY27" s="57">
        <v>198</v>
      </c>
      <c r="AZ27" s="58">
        <f t="shared" si="61"/>
        <v>91.08</v>
      </c>
      <c r="BA27" s="57">
        <v>83</v>
      </c>
      <c r="BB27" s="58">
        <f t="shared" si="62"/>
        <v>38.18</v>
      </c>
      <c r="BC27" s="57">
        <v>136</v>
      </c>
      <c r="BD27" s="58">
        <f t="shared" si="63"/>
        <v>62.56</v>
      </c>
      <c r="BE27" s="57">
        <v>180</v>
      </c>
      <c r="BF27" s="58">
        <f t="shared" si="64"/>
        <v>82.8</v>
      </c>
      <c r="BG27" s="57">
        <v>114</v>
      </c>
      <c r="BH27" s="58">
        <f t="shared" si="65"/>
        <v>52.440000000000005</v>
      </c>
      <c r="BI27" s="57">
        <v>149</v>
      </c>
      <c r="BJ27" s="58">
        <f t="shared" si="66"/>
        <v>68.540000000000006</v>
      </c>
      <c r="BK27" s="62">
        <f t="shared" si="67"/>
        <v>204</v>
      </c>
      <c r="BL27" s="63">
        <f t="shared" si="67"/>
        <v>93.84</v>
      </c>
      <c r="BO27" s="65">
        <v>48</v>
      </c>
      <c r="BP27" s="65">
        <v>7</v>
      </c>
      <c r="BQ27" s="65">
        <v>48.07</v>
      </c>
      <c r="BR27" s="34" t="s">
        <v>179</v>
      </c>
      <c r="BS27" s="65" t="s">
        <v>216</v>
      </c>
      <c r="BT27" s="65" t="s">
        <v>206</v>
      </c>
      <c r="BU27" s="37" t="s">
        <v>175</v>
      </c>
      <c r="BV27" s="66">
        <f t="shared" si="5"/>
        <v>24447.852813333331</v>
      </c>
      <c r="BW27" s="66">
        <f t="shared" si="1"/>
        <v>5466.8592851355033</v>
      </c>
      <c r="BX27" s="66">
        <f t="shared" si="2"/>
        <v>22.361306438142478</v>
      </c>
      <c r="BY27" s="67"/>
      <c r="BZ27" s="68">
        <v>26</v>
      </c>
      <c r="CA27" s="74" t="s">
        <v>25</v>
      </c>
      <c r="CB27" s="69">
        <f t="shared" si="6"/>
        <v>0</v>
      </c>
      <c r="CC27" s="69">
        <f t="shared" si="7"/>
        <v>0</v>
      </c>
      <c r="CD27" s="70"/>
      <c r="CE27" s="71"/>
      <c r="CF27" s="71"/>
      <c r="CG27" s="71">
        <v>26</v>
      </c>
      <c r="CH27" s="71" t="str">
        <f t="shared" si="38"/>
        <v/>
      </c>
      <c r="CI27" s="71" t="str">
        <f t="shared" si="38"/>
        <v/>
      </c>
      <c r="CJ27" s="71" t="str">
        <f t="shared" si="38"/>
        <v/>
      </c>
      <c r="CK27" s="71" t="str">
        <f t="shared" si="38"/>
        <v/>
      </c>
      <c r="CL27" s="71" t="str">
        <f t="shared" si="38"/>
        <v/>
      </c>
      <c r="CM27" s="71" t="str">
        <f t="shared" si="38"/>
        <v/>
      </c>
      <c r="CN27" s="71" t="str">
        <f t="shared" si="38"/>
        <v/>
      </c>
      <c r="CO27" s="71" t="str">
        <f t="shared" si="38"/>
        <v/>
      </c>
      <c r="CP27" s="71" t="str">
        <f t="shared" si="38"/>
        <v/>
      </c>
      <c r="CQ27" s="71" t="str">
        <f t="shared" si="38"/>
        <v/>
      </c>
      <c r="CR27" s="71"/>
      <c r="CS27" s="71">
        <v>26</v>
      </c>
      <c r="CT27" s="71" t="str">
        <f t="shared" si="39"/>
        <v/>
      </c>
      <c r="CU27" s="71" t="str">
        <f t="shared" si="39"/>
        <v/>
      </c>
      <c r="CV27" s="71" t="str">
        <f t="shared" si="39"/>
        <v/>
      </c>
      <c r="CW27" s="71" t="str">
        <f t="shared" si="39"/>
        <v/>
      </c>
      <c r="CX27" s="71" t="str">
        <f t="shared" si="39"/>
        <v/>
      </c>
      <c r="CY27" s="71" t="str">
        <f t="shared" si="39"/>
        <v/>
      </c>
      <c r="CZ27" s="71" t="str">
        <f t="shared" si="39"/>
        <v/>
      </c>
      <c r="DA27" s="71" t="str">
        <f t="shared" si="39"/>
        <v/>
      </c>
      <c r="DB27" s="71" t="str">
        <f t="shared" si="39"/>
        <v/>
      </c>
      <c r="DC27" s="72" t="str">
        <f t="shared" si="39"/>
        <v/>
      </c>
    </row>
    <row r="28" spans="1:107" x14ac:dyDescent="0.35">
      <c r="A28" s="52">
        <v>49</v>
      </c>
      <c r="B28" s="52">
        <v>27</v>
      </c>
      <c r="C28" s="89">
        <v>3</v>
      </c>
      <c r="D28" s="89">
        <v>1</v>
      </c>
      <c r="E28" s="80" t="s">
        <v>217</v>
      </c>
      <c r="F28" s="55">
        <v>0.55000000000000004</v>
      </c>
      <c r="G28" s="53">
        <v>4294</v>
      </c>
      <c r="H28" s="76">
        <f t="shared" si="40"/>
        <v>2361.7000000000003</v>
      </c>
      <c r="I28" s="90">
        <v>1568</v>
      </c>
      <c r="J28" s="58">
        <f t="shared" si="41"/>
        <v>862.40000000000009</v>
      </c>
      <c r="K28" s="57"/>
      <c r="L28" s="58">
        <f t="shared" si="11"/>
        <v>0</v>
      </c>
      <c r="M28" s="90">
        <v>3404</v>
      </c>
      <c r="N28" s="58">
        <f t="shared" si="42"/>
        <v>1872.2</v>
      </c>
      <c r="O28" s="90">
        <v>3126</v>
      </c>
      <c r="P28" s="58">
        <f t="shared" si="43"/>
        <v>1719.3000000000002</v>
      </c>
      <c r="Q28" s="90">
        <v>2943</v>
      </c>
      <c r="R28" s="58">
        <f t="shared" si="44"/>
        <v>1618.65</v>
      </c>
      <c r="S28" s="90">
        <v>3311</v>
      </c>
      <c r="T28" s="58">
        <f t="shared" si="45"/>
        <v>1821.0500000000002</v>
      </c>
      <c r="U28" s="57">
        <v>1940</v>
      </c>
      <c r="V28" s="58">
        <f t="shared" si="46"/>
        <v>1067</v>
      </c>
      <c r="W28" s="90">
        <v>1736</v>
      </c>
      <c r="X28" s="58">
        <f t="shared" si="47"/>
        <v>954.80000000000007</v>
      </c>
      <c r="Y28" s="57">
        <v>1185</v>
      </c>
      <c r="Z28" s="58">
        <f t="shared" si="48"/>
        <v>651.75</v>
      </c>
      <c r="AA28" s="57">
        <v>1400</v>
      </c>
      <c r="AB28" s="58">
        <f t="shared" si="49"/>
        <v>770.00000000000011</v>
      </c>
      <c r="AC28" s="57">
        <v>1641</v>
      </c>
      <c r="AD28" s="58">
        <f t="shared" si="50"/>
        <v>902.55000000000007</v>
      </c>
      <c r="AE28" s="57">
        <v>1404</v>
      </c>
      <c r="AF28" s="58">
        <f t="shared" si="51"/>
        <v>772.2</v>
      </c>
      <c r="AG28" s="57">
        <v>1702</v>
      </c>
      <c r="AH28" s="58">
        <v>1021</v>
      </c>
      <c r="AI28" s="61">
        <v>2400</v>
      </c>
      <c r="AJ28" s="58">
        <f t="shared" si="53"/>
        <v>1320</v>
      </c>
      <c r="AK28" s="61">
        <v>2201</v>
      </c>
      <c r="AL28" s="58">
        <f t="shared" si="54"/>
        <v>1210.5500000000002</v>
      </c>
      <c r="AM28" s="61">
        <v>1650</v>
      </c>
      <c r="AN28" s="58">
        <f t="shared" si="55"/>
        <v>907.50000000000011</v>
      </c>
      <c r="AO28" s="61">
        <v>1592</v>
      </c>
      <c r="AP28" s="58">
        <f t="shared" si="56"/>
        <v>875.6</v>
      </c>
      <c r="AQ28" s="61">
        <v>1494</v>
      </c>
      <c r="AR28" s="58">
        <f t="shared" si="57"/>
        <v>821.7</v>
      </c>
      <c r="AS28" s="57">
        <v>1993</v>
      </c>
      <c r="AT28" s="58">
        <f t="shared" si="58"/>
        <v>1096.1500000000001</v>
      </c>
      <c r="AU28" s="57">
        <v>1493</v>
      </c>
      <c r="AV28" s="58">
        <f t="shared" si="59"/>
        <v>821.15000000000009</v>
      </c>
      <c r="AW28" s="57">
        <v>1667</v>
      </c>
      <c r="AX28" s="58">
        <f t="shared" si="60"/>
        <v>916.85</v>
      </c>
      <c r="AY28" s="57">
        <v>2894</v>
      </c>
      <c r="AZ28" s="58">
        <f t="shared" si="61"/>
        <v>1591.7</v>
      </c>
      <c r="BA28" s="57">
        <v>3183</v>
      </c>
      <c r="BB28" s="58">
        <f t="shared" si="62"/>
        <v>1750.65</v>
      </c>
      <c r="BC28" s="57">
        <v>1224</v>
      </c>
      <c r="BD28" s="58">
        <f t="shared" si="63"/>
        <v>673.2</v>
      </c>
      <c r="BE28" s="57">
        <v>648</v>
      </c>
      <c r="BF28" s="58">
        <f t="shared" si="64"/>
        <v>356.40000000000003</v>
      </c>
      <c r="BG28" s="57">
        <v>1694</v>
      </c>
      <c r="BH28" s="58">
        <f t="shared" si="65"/>
        <v>931.7</v>
      </c>
      <c r="BI28" s="57">
        <v>1950</v>
      </c>
      <c r="BJ28" s="58">
        <f t="shared" si="66"/>
        <v>1072.5</v>
      </c>
      <c r="BK28" s="62">
        <f t="shared" si="67"/>
        <v>1568</v>
      </c>
      <c r="BL28" s="63">
        <f t="shared" si="67"/>
        <v>862.40000000000009</v>
      </c>
      <c r="BO28" s="65">
        <v>48</v>
      </c>
      <c r="BP28" s="65">
        <v>8</v>
      </c>
      <c r="BQ28" s="65">
        <v>48.08</v>
      </c>
      <c r="BR28" s="65" t="s">
        <v>179</v>
      </c>
      <c r="BS28" s="65" t="s">
        <v>217</v>
      </c>
      <c r="BT28" s="65" t="s">
        <v>218</v>
      </c>
      <c r="BU28" s="37" t="s">
        <v>175</v>
      </c>
      <c r="BV28" s="66">
        <f t="shared" si="5"/>
        <v>236862.71845333336</v>
      </c>
      <c r="BW28" s="66">
        <f t="shared" si="1"/>
        <v>114202.26807356889</v>
      </c>
      <c r="BX28" s="66">
        <f t="shared" si="2"/>
        <v>48.214539130213097</v>
      </c>
      <c r="BY28" s="67"/>
      <c r="BZ28" s="68">
        <v>27</v>
      </c>
      <c r="CA28" s="74" t="s">
        <v>26</v>
      </c>
      <c r="CB28" s="69">
        <f t="shared" si="6"/>
        <v>0</v>
      </c>
      <c r="CC28" s="69">
        <f t="shared" si="7"/>
        <v>0</v>
      </c>
      <c r="CD28" s="70"/>
      <c r="CE28" s="71"/>
      <c r="CF28" s="71"/>
      <c r="CG28" s="71">
        <v>27</v>
      </c>
      <c r="CH28" s="71" t="str">
        <f t="shared" si="38"/>
        <v/>
      </c>
      <c r="CI28" s="71" t="str">
        <f t="shared" si="38"/>
        <v/>
      </c>
      <c r="CJ28" s="71" t="str">
        <f t="shared" si="38"/>
        <v/>
      </c>
      <c r="CK28" s="71" t="str">
        <f t="shared" si="38"/>
        <v/>
      </c>
      <c r="CL28" s="71" t="str">
        <f t="shared" si="38"/>
        <v/>
      </c>
      <c r="CM28" s="71" t="str">
        <f t="shared" si="38"/>
        <v/>
      </c>
      <c r="CN28" s="71" t="str">
        <f t="shared" si="38"/>
        <v/>
      </c>
      <c r="CO28" s="71" t="str">
        <f t="shared" si="38"/>
        <v/>
      </c>
      <c r="CP28" s="71" t="str">
        <f t="shared" si="38"/>
        <v/>
      </c>
      <c r="CQ28" s="71" t="str">
        <f t="shared" si="38"/>
        <v/>
      </c>
      <c r="CR28" s="71"/>
      <c r="CS28" s="71">
        <v>27</v>
      </c>
      <c r="CT28" s="71" t="str">
        <f t="shared" si="39"/>
        <v/>
      </c>
      <c r="CU28" s="71" t="str">
        <f t="shared" si="39"/>
        <v/>
      </c>
      <c r="CV28" s="71" t="str">
        <f t="shared" si="39"/>
        <v/>
      </c>
      <c r="CW28" s="71" t="str">
        <f t="shared" si="39"/>
        <v/>
      </c>
      <c r="CX28" s="71" t="str">
        <f t="shared" si="39"/>
        <v/>
      </c>
      <c r="CY28" s="71" t="str">
        <f t="shared" si="39"/>
        <v/>
      </c>
      <c r="CZ28" s="71" t="str">
        <f t="shared" si="39"/>
        <v/>
      </c>
      <c r="DA28" s="71" t="str">
        <f t="shared" si="39"/>
        <v/>
      </c>
      <c r="DB28" s="71" t="str">
        <f t="shared" si="39"/>
        <v/>
      </c>
      <c r="DC28" s="72" t="str">
        <f t="shared" si="39"/>
        <v/>
      </c>
    </row>
    <row r="29" spans="1:107" ht="15" thickBot="1" x14ac:dyDescent="0.4">
      <c r="A29" s="52">
        <v>55</v>
      </c>
      <c r="B29" s="52">
        <v>28</v>
      </c>
      <c r="C29" s="52">
        <v>4</v>
      </c>
      <c r="D29" s="52">
        <v>1</v>
      </c>
      <c r="E29" s="80" t="s">
        <v>219</v>
      </c>
      <c r="F29" s="55">
        <v>0.62</v>
      </c>
      <c r="G29" s="53">
        <v>314</v>
      </c>
      <c r="H29" s="76">
        <f t="shared" si="40"/>
        <v>194.68</v>
      </c>
      <c r="I29" s="77">
        <v>115</v>
      </c>
      <c r="J29" s="58">
        <f t="shared" si="41"/>
        <v>71.3</v>
      </c>
      <c r="K29" s="57"/>
      <c r="L29" s="58">
        <f t="shared" si="11"/>
        <v>0</v>
      </c>
      <c r="M29" s="77">
        <v>324</v>
      </c>
      <c r="N29" s="58">
        <f t="shared" si="42"/>
        <v>200.88</v>
      </c>
      <c r="O29" s="77">
        <v>508</v>
      </c>
      <c r="P29" s="58">
        <f t="shared" si="43"/>
        <v>314.95999999999998</v>
      </c>
      <c r="Q29" s="77">
        <v>301</v>
      </c>
      <c r="R29" s="58">
        <f t="shared" si="44"/>
        <v>186.62</v>
      </c>
      <c r="S29" s="77">
        <v>266</v>
      </c>
      <c r="T29" s="58">
        <f t="shared" si="45"/>
        <v>164.92</v>
      </c>
      <c r="U29" s="57">
        <v>479</v>
      </c>
      <c r="V29" s="58">
        <f t="shared" si="46"/>
        <v>296.98</v>
      </c>
      <c r="W29" s="77">
        <v>396</v>
      </c>
      <c r="X29" s="58">
        <f t="shared" si="47"/>
        <v>245.52</v>
      </c>
      <c r="Y29" s="57">
        <v>274</v>
      </c>
      <c r="Z29" s="58">
        <f t="shared" si="48"/>
        <v>169.88</v>
      </c>
      <c r="AA29" s="57">
        <v>273</v>
      </c>
      <c r="AB29" s="58">
        <f t="shared" si="49"/>
        <v>169.26</v>
      </c>
      <c r="AC29" s="57">
        <v>306</v>
      </c>
      <c r="AD29" s="58">
        <f t="shared" si="50"/>
        <v>189.72</v>
      </c>
      <c r="AE29" s="57">
        <v>258</v>
      </c>
      <c r="AF29" s="58">
        <f t="shared" si="51"/>
        <v>159.96</v>
      </c>
      <c r="AG29" s="57">
        <v>286</v>
      </c>
      <c r="AH29" s="58">
        <f>PRODUCT(F29,AG29)</f>
        <v>177.32</v>
      </c>
      <c r="AI29" s="61">
        <v>289</v>
      </c>
      <c r="AJ29" s="58">
        <f t="shared" si="53"/>
        <v>179.18</v>
      </c>
      <c r="AK29" s="73">
        <v>237</v>
      </c>
      <c r="AL29" s="58">
        <f t="shared" si="54"/>
        <v>146.94</v>
      </c>
      <c r="AM29" s="61">
        <v>260</v>
      </c>
      <c r="AN29" s="58">
        <f t="shared" si="55"/>
        <v>161.19999999999999</v>
      </c>
      <c r="AO29" s="61">
        <v>270</v>
      </c>
      <c r="AP29" s="58">
        <f t="shared" si="56"/>
        <v>167.4</v>
      </c>
      <c r="AQ29" s="61">
        <v>178</v>
      </c>
      <c r="AR29" s="58">
        <f t="shared" si="57"/>
        <v>110.36</v>
      </c>
      <c r="AS29" s="57">
        <v>76</v>
      </c>
      <c r="AT29" s="58">
        <f t="shared" si="58"/>
        <v>47.12</v>
      </c>
      <c r="AU29" s="57">
        <v>63</v>
      </c>
      <c r="AV29" s="58">
        <f t="shared" si="59"/>
        <v>39.06</v>
      </c>
      <c r="AW29" s="57">
        <v>59</v>
      </c>
      <c r="AX29" s="58">
        <f t="shared" si="60"/>
        <v>36.58</v>
      </c>
      <c r="AY29" s="57">
        <v>59</v>
      </c>
      <c r="AZ29" s="58">
        <f t="shared" si="61"/>
        <v>36.58</v>
      </c>
      <c r="BA29" s="57">
        <v>52</v>
      </c>
      <c r="BB29" s="58">
        <f t="shared" si="62"/>
        <v>32.24</v>
      </c>
      <c r="BC29" s="57">
        <v>43</v>
      </c>
      <c r="BD29" s="58">
        <f t="shared" si="63"/>
        <v>26.66</v>
      </c>
      <c r="BE29" s="57">
        <v>44</v>
      </c>
      <c r="BF29" s="58">
        <f t="shared" si="64"/>
        <v>27.28</v>
      </c>
      <c r="BG29" s="57">
        <v>61</v>
      </c>
      <c r="BH29" s="58">
        <f t="shared" si="65"/>
        <v>37.82</v>
      </c>
      <c r="BI29" s="57">
        <v>53</v>
      </c>
      <c r="BJ29" s="58">
        <f t="shared" si="66"/>
        <v>32.86</v>
      </c>
      <c r="BK29" s="62">
        <f t="shared" si="67"/>
        <v>115</v>
      </c>
      <c r="BL29" s="63">
        <f t="shared" si="67"/>
        <v>71.3</v>
      </c>
      <c r="BO29" s="64">
        <v>52</v>
      </c>
      <c r="BP29" s="64">
        <v>1</v>
      </c>
      <c r="BQ29" s="64">
        <v>52.01</v>
      </c>
      <c r="BR29" s="34" t="s">
        <v>179</v>
      </c>
      <c r="BS29" s="65" t="s">
        <v>219</v>
      </c>
      <c r="BT29" s="65" t="s">
        <v>220</v>
      </c>
      <c r="BU29" s="37" t="s">
        <v>175</v>
      </c>
      <c r="BV29" s="66">
        <f t="shared" si="5"/>
        <v>8719.5502133333339</v>
      </c>
      <c r="BW29" s="66">
        <f t="shared" si="1"/>
        <v>1408.0805200385716</v>
      </c>
      <c r="BX29" s="66">
        <f t="shared" si="2"/>
        <v>16.148545344522841</v>
      </c>
      <c r="BY29" s="67"/>
      <c r="BZ29" s="68">
        <v>28</v>
      </c>
      <c r="CA29" s="82" t="s">
        <v>27</v>
      </c>
      <c r="CB29" s="83">
        <f t="shared" si="6"/>
        <v>0</v>
      </c>
      <c r="CC29" s="83">
        <f t="shared" si="7"/>
        <v>0</v>
      </c>
      <c r="CD29" s="70"/>
      <c r="CE29" s="71"/>
      <c r="CF29" s="71"/>
      <c r="CG29" s="71">
        <v>28</v>
      </c>
      <c r="CH29" s="71" t="str">
        <f t="shared" si="38"/>
        <v/>
      </c>
      <c r="CI29" s="71" t="str">
        <f t="shared" si="38"/>
        <v/>
      </c>
      <c r="CJ29" s="71" t="str">
        <f t="shared" si="38"/>
        <v/>
      </c>
      <c r="CK29" s="71" t="str">
        <f t="shared" si="38"/>
        <v/>
      </c>
      <c r="CL29" s="71" t="str">
        <f t="shared" si="38"/>
        <v/>
      </c>
      <c r="CM29" s="71" t="str">
        <f t="shared" si="38"/>
        <v/>
      </c>
      <c r="CN29" s="71" t="str">
        <f t="shared" si="38"/>
        <v/>
      </c>
      <c r="CO29" s="71" t="str">
        <f t="shared" si="38"/>
        <v/>
      </c>
      <c r="CP29" s="71" t="str">
        <f t="shared" si="38"/>
        <v/>
      </c>
      <c r="CQ29" s="71" t="str">
        <f t="shared" si="38"/>
        <v/>
      </c>
      <c r="CR29" s="71"/>
      <c r="CS29" s="71">
        <v>28</v>
      </c>
      <c r="CT29" s="71" t="str">
        <f t="shared" si="39"/>
        <v/>
      </c>
      <c r="CU29" s="71" t="str">
        <f t="shared" si="39"/>
        <v/>
      </c>
      <c r="CV29" s="71" t="str">
        <f t="shared" si="39"/>
        <v/>
      </c>
      <c r="CW29" s="71" t="str">
        <f t="shared" si="39"/>
        <v/>
      </c>
      <c r="CX29" s="71" t="str">
        <f t="shared" si="39"/>
        <v/>
      </c>
      <c r="CY29" s="71" t="str">
        <f t="shared" si="39"/>
        <v/>
      </c>
      <c r="CZ29" s="71" t="str">
        <f t="shared" si="39"/>
        <v/>
      </c>
      <c r="DA29" s="71" t="str">
        <f t="shared" si="39"/>
        <v/>
      </c>
      <c r="DB29" s="71" t="str">
        <f t="shared" si="39"/>
        <v/>
      </c>
      <c r="DC29" s="72" t="str">
        <f t="shared" si="39"/>
        <v/>
      </c>
    </row>
    <row r="30" spans="1:107" ht="15.5" thickTop="1" thickBot="1" x14ac:dyDescent="0.4">
      <c r="A30" s="52">
        <v>57</v>
      </c>
      <c r="B30" s="52">
        <v>29</v>
      </c>
      <c r="C30" s="52">
        <v>4</v>
      </c>
      <c r="D30" s="52">
        <v>1</v>
      </c>
      <c r="E30" s="80" t="s">
        <v>221</v>
      </c>
      <c r="F30" s="55">
        <v>0.62</v>
      </c>
      <c r="G30" s="53">
        <v>195</v>
      </c>
      <c r="H30" s="76">
        <f t="shared" si="40"/>
        <v>120.9</v>
      </c>
      <c r="I30" s="77">
        <v>71</v>
      </c>
      <c r="J30" s="58">
        <f t="shared" si="41"/>
        <v>44.02</v>
      </c>
      <c r="K30" s="57"/>
      <c r="L30" s="58">
        <f t="shared" si="11"/>
        <v>0</v>
      </c>
      <c r="M30" s="77">
        <v>219</v>
      </c>
      <c r="N30" s="58">
        <f t="shared" si="42"/>
        <v>135.78</v>
      </c>
      <c r="O30" s="77">
        <v>242</v>
      </c>
      <c r="P30" s="58">
        <f t="shared" si="43"/>
        <v>150.04</v>
      </c>
      <c r="Q30" s="77">
        <v>188</v>
      </c>
      <c r="R30" s="58">
        <f t="shared" si="44"/>
        <v>116.56</v>
      </c>
      <c r="S30" s="77">
        <v>151</v>
      </c>
      <c r="T30" s="58">
        <f t="shared" si="45"/>
        <v>93.62</v>
      </c>
      <c r="U30" s="57">
        <v>135</v>
      </c>
      <c r="V30" s="58">
        <f t="shared" si="46"/>
        <v>83.7</v>
      </c>
      <c r="W30" s="77">
        <v>82</v>
      </c>
      <c r="X30" s="58">
        <f t="shared" si="47"/>
        <v>50.839999999999996</v>
      </c>
      <c r="Y30" s="57">
        <v>62</v>
      </c>
      <c r="Z30" s="58">
        <f t="shared" si="48"/>
        <v>38.44</v>
      </c>
      <c r="AA30" s="57">
        <v>53</v>
      </c>
      <c r="AB30" s="58">
        <f t="shared" si="49"/>
        <v>32.86</v>
      </c>
      <c r="AC30" s="57">
        <v>64</v>
      </c>
      <c r="AD30" s="58">
        <f t="shared" si="50"/>
        <v>39.68</v>
      </c>
      <c r="AE30" s="57">
        <v>58</v>
      </c>
      <c r="AF30" s="58">
        <f t="shared" si="51"/>
        <v>35.96</v>
      </c>
      <c r="AG30" s="57">
        <v>59</v>
      </c>
      <c r="AH30" s="58">
        <f>PRODUCT(F30,AG30)</f>
        <v>36.58</v>
      </c>
      <c r="AI30" s="61">
        <v>66</v>
      </c>
      <c r="AJ30" s="58">
        <f t="shared" si="53"/>
        <v>40.92</v>
      </c>
      <c r="AK30" s="61">
        <v>63</v>
      </c>
      <c r="AL30" s="58">
        <f t="shared" si="54"/>
        <v>39.06</v>
      </c>
      <c r="AM30" s="61">
        <v>64</v>
      </c>
      <c r="AN30" s="58">
        <f t="shared" si="55"/>
        <v>39.68</v>
      </c>
      <c r="AO30" s="61">
        <v>64</v>
      </c>
      <c r="AP30" s="58">
        <f t="shared" si="56"/>
        <v>39.68</v>
      </c>
      <c r="AQ30" s="61">
        <v>63</v>
      </c>
      <c r="AR30" s="58">
        <f t="shared" si="57"/>
        <v>39.06</v>
      </c>
      <c r="AS30" s="57">
        <v>82</v>
      </c>
      <c r="AT30" s="58">
        <f t="shared" si="58"/>
        <v>50.839999999999996</v>
      </c>
      <c r="AU30" s="57">
        <v>75</v>
      </c>
      <c r="AV30" s="58">
        <f t="shared" si="59"/>
        <v>46.5</v>
      </c>
      <c r="AW30" s="57">
        <v>57</v>
      </c>
      <c r="AX30" s="58">
        <f t="shared" si="60"/>
        <v>35.339999999999996</v>
      </c>
      <c r="AY30" s="57">
        <v>66</v>
      </c>
      <c r="AZ30" s="58">
        <f t="shared" si="61"/>
        <v>40.92</v>
      </c>
      <c r="BA30" s="57">
        <v>68</v>
      </c>
      <c r="BB30" s="58">
        <f t="shared" si="62"/>
        <v>42.16</v>
      </c>
      <c r="BC30" s="57">
        <v>81</v>
      </c>
      <c r="BD30" s="58">
        <f t="shared" si="63"/>
        <v>50.22</v>
      </c>
      <c r="BE30" s="57">
        <v>63</v>
      </c>
      <c r="BF30" s="58">
        <f t="shared" si="64"/>
        <v>39.06</v>
      </c>
      <c r="BG30" s="57">
        <v>67</v>
      </c>
      <c r="BH30" s="58">
        <f t="shared" si="65"/>
        <v>41.54</v>
      </c>
      <c r="BI30" s="57">
        <v>78</v>
      </c>
      <c r="BJ30" s="58">
        <f t="shared" si="66"/>
        <v>48.36</v>
      </c>
      <c r="BK30" s="62">
        <f t="shared" si="67"/>
        <v>71</v>
      </c>
      <c r="BL30" s="63">
        <f t="shared" si="67"/>
        <v>44.02</v>
      </c>
      <c r="BO30" s="64">
        <v>52</v>
      </c>
      <c r="BP30" s="64">
        <v>2</v>
      </c>
      <c r="BQ30" s="64">
        <v>52.02</v>
      </c>
      <c r="BR30" s="34" t="s">
        <v>179</v>
      </c>
      <c r="BS30" s="65" t="s">
        <v>221</v>
      </c>
      <c r="BT30" s="65" t="s">
        <v>222</v>
      </c>
      <c r="BU30" s="37" t="s">
        <v>175</v>
      </c>
      <c r="BV30" s="66">
        <f t="shared" si="5"/>
        <v>11478.901546666666</v>
      </c>
      <c r="BW30" s="66">
        <f t="shared" si="1"/>
        <v>1285.9879845406433</v>
      </c>
      <c r="BX30" s="66">
        <f t="shared" si="2"/>
        <v>11.203057882433695</v>
      </c>
      <c r="BY30" s="67"/>
      <c r="BZ30" s="68">
        <v>29</v>
      </c>
      <c r="CA30" s="82" t="s">
        <v>223</v>
      </c>
      <c r="CB30" s="83">
        <f t="shared" si="6"/>
        <v>2317.8551200000002</v>
      </c>
      <c r="CC30" s="83">
        <f t="shared" si="7"/>
        <v>0</v>
      </c>
      <c r="CD30" s="70"/>
      <c r="CE30" s="71"/>
      <c r="CF30" s="71"/>
      <c r="CG30" s="71">
        <v>29</v>
      </c>
      <c r="CH30" s="71">
        <f t="shared" si="38"/>
        <v>1655.6107999999999</v>
      </c>
      <c r="CI30" s="71">
        <f t="shared" si="38"/>
        <v>662.24432000000002</v>
      </c>
      <c r="CJ30" s="71" t="str">
        <f t="shared" si="38"/>
        <v/>
      </c>
      <c r="CK30" s="71" t="str">
        <f t="shared" si="38"/>
        <v/>
      </c>
      <c r="CL30" s="71" t="str">
        <f t="shared" si="38"/>
        <v/>
      </c>
      <c r="CM30" s="71" t="str">
        <f t="shared" si="38"/>
        <v/>
      </c>
      <c r="CN30" s="71" t="str">
        <f t="shared" si="38"/>
        <v/>
      </c>
      <c r="CO30" s="71" t="str">
        <f t="shared" si="38"/>
        <v/>
      </c>
      <c r="CP30" s="71" t="str">
        <f t="shared" si="38"/>
        <v/>
      </c>
      <c r="CQ30" s="71" t="str">
        <f t="shared" si="38"/>
        <v/>
      </c>
      <c r="CR30" s="71"/>
      <c r="CS30" s="71">
        <v>29</v>
      </c>
      <c r="CT30" s="71">
        <f t="shared" si="39"/>
        <v>0</v>
      </c>
      <c r="CU30" s="71">
        <f t="shared" si="39"/>
        <v>0</v>
      </c>
      <c r="CV30" s="71" t="str">
        <f t="shared" si="39"/>
        <v/>
      </c>
      <c r="CW30" s="71" t="str">
        <f t="shared" si="39"/>
        <v/>
      </c>
      <c r="CX30" s="71" t="str">
        <f t="shared" si="39"/>
        <v/>
      </c>
      <c r="CY30" s="71" t="str">
        <f t="shared" si="39"/>
        <v/>
      </c>
      <c r="CZ30" s="71" t="str">
        <f t="shared" si="39"/>
        <v/>
      </c>
      <c r="DA30" s="71" t="str">
        <f t="shared" si="39"/>
        <v/>
      </c>
      <c r="DB30" s="71" t="str">
        <f t="shared" si="39"/>
        <v/>
      </c>
      <c r="DC30" s="72" t="str">
        <f t="shared" si="39"/>
        <v/>
      </c>
    </row>
    <row r="31" spans="1:107" ht="15" thickTop="1" x14ac:dyDescent="0.35">
      <c r="A31" s="52">
        <v>116</v>
      </c>
      <c r="B31" s="52">
        <v>30</v>
      </c>
      <c r="E31" s="65" t="s">
        <v>224</v>
      </c>
      <c r="F31" s="55">
        <v>0.62</v>
      </c>
      <c r="H31" s="79"/>
      <c r="I31" s="37"/>
      <c r="J31" s="75"/>
      <c r="K31" s="37"/>
      <c r="L31" s="75">
        <f t="shared" si="11"/>
        <v>0</v>
      </c>
      <c r="M31" s="37"/>
      <c r="N31" s="75"/>
      <c r="O31" s="37"/>
      <c r="P31" s="75"/>
      <c r="Q31" s="37"/>
      <c r="R31" s="75"/>
      <c r="S31" s="37"/>
      <c r="T31" s="75"/>
      <c r="U31" s="61"/>
      <c r="V31" s="75"/>
      <c r="W31" s="37"/>
      <c r="X31" s="75"/>
      <c r="Y31" s="61"/>
      <c r="Z31" s="75"/>
      <c r="AA31" s="61"/>
      <c r="AB31" s="75"/>
      <c r="AC31" s="61"/>
      <c r="AD31" s="75"/>
      <c r="AE31" s="61"/>
      <c r="AF31" s="75"/>
      <c r="AG31" s="61"/>
      <c r="AH31" s="75"/>
      <c r="AJ31" s="75"/>
      <c r="AL31" s="75"/>
      <c r="AM31" s="61">
        <v>10</v>
      </c>
      <c r="AN31" s="58">
        <f>PRODUCT($F31*AM31)</f>
        <v>6.2</v>
      </c>
      <c r="AO31" s="61">
        <f>AM31</f>
        <v>10</v>
      </c>
      <c r="AP31" s="58">
        <f>PRODUCT($F31*AO31)</f>
        <v>6.2</v>
      </c>
      <c r="AQ31" s="61">
        <f>AO31</f>
        <v>10</v>
      </c>
      <c r="AR31" s="75"/>
      <c r="AS31" s="61">
        <f>AQ31</f>
        <v>10</v>
      </c>
      <c r="AT31" s="75"/>
      <c r="AU31" s="61">
        <f>AS31</f>
        <v>10</v>
      </c>
      <c r="AV31" s="58">
        <f>PRODUCT($F31*AU31)</f>
        <v>6.2</v>
      </c>
      <c r="AW31" s="61">
        <f>AU31</f>
        <v>10</v>
      </c>
      <c r="AX31" s="58">
        <f>PRODUCT($F31*AW31)</f>
        <v>6.2</v>
      </c>
      <c r="AY31" s="61">
        <f>AW31</f>
        <v>10</v>
      </c>
      <c r="AZ31" s="58">
        <f>PRODUCT($F31*AY31)</f>
        <v>6.2</v>
      </c>
      <c r="BA31" s="61">
        <f>AY31</f>
        <v>10</v>
      </c>
      <c r="BB31" s="58">
        <f>PRODUCT($F31*BA31)</f>
        <v>6.2</v>
      </c>
      <c r="BC31" s="61">
        <f>BA31</f>
        <v>10</v>
      </c>
      <c r="BD31" s="58">
        <f>PRODUCT($F31*BC31)</f>
        <v>6.2</v>
      </c>
      <c r="BE31" s="61">
        <f>BC31</f>
        <v>10</v>
      </c>
      <c r="BF31" s="58">
        <f>PRODUCT($F31*BE31)</f>
        <v>6.2</v>
      </c>
      <c r="BG31" s="61">
        <f>BE31</f>
        <v>10</v>
      </c>
      <c r="BH31" s="58">
        <f>PRODUCT($F31*BG31)</f>
        <v>6.2</v>
      </c>
      <c r="BI31" s="57">
        <f>BG31</f>
        <v>10</v>
      </c>
      <c r="BJ31" s="58">
        <f>PRODUCT($F31*BI31)</f>
        <v>6.2</v>
      </c>
      <c r="BK31" s="80"/>
      <c r="BM31" s="51"/>
      <c r="BN31" s="51"/>
      <c r="BO31" s="64">
        <v>52</v>
      </c>
      <c r="BP31" s="64">
        <v>3</v>
      </c>
      <c r="BQ31" s="64">
        <v>52.03</v>
      </c>
      <c r="BR31" s="34" t="s">
        <v>179</v>
      </c>
      <c r="BS31" s="65" t="s">
        <v>224</v>
      </c>
      <c r="BT31" s="65" t="s">
        <v>225</v>
      </c>
      <c r="BU31" s="37" t="s">
        <v>175</v>
      </c>
      <c r="BV31" s="66">
        <f t="shared" si="5"/>
        <v>1655.6107999999999</v>
      </c>
      <c r="BW31" s="66">
        <f t="shared" si="1"/>
        <v>0</v>
      </c>
      <c r="BX31" s="66" t="str">
        <f t="shared" si="2"/>
        <v/>
      </c>
      <c r="BY31" s="67"/>
      <c r="BZ31" s="68">
        <v>30</v>
      </c>
      <c r="CA31" s="74" t="s">
        <v>28</v>
      </c>
      <c r="CB31" s="69">
        <f t="shared" si="6"/>
        <v>0</v>
      </c>
      <c r="CC31" s="69">
        <f t="shared" si="7"/>
        <v>0</v>
      </c>
      <c r="CD31" s="70"/>
      <c r="CE31" s="71"/>
      <c r="CF31" s="71"/>
      <c r="CG31" s="71">
        <v>30</v>
      </c>
      <c r="CH31" s="71" t="str">
        <f t="shared" si="38"/>
        <v/>
      </c>
      <c r="CI31" s="71" t="str">
        <f t="shared" si="38"/>
        <v/>
      </c>
      <c r="CJ31" s="71" t="str">
        <f t="shared" si="38"/>
        <v/>
      </c>
      <c r="CK31" s="71" t="str">
        <f t="shared" si="38"/>
        <v/>
      </c>
      <c r="CL31" s="71" t="str">
        <f t="shared" si="38"/>
        <v/>
      </c>
      <c r="CM31" s="71" t="str">
        <f t="shared" si="38"/>
        <v/>
      </c>
      <c r="CN31" s="71" t="str">
        <f t="shared" si="38"/>
        <v/>
      </c>
      <c r="CO31" s="71" t="str">
        <f t="shared" si="38"/>
        <v/>
      </c>
      <c r="CP31" s="71" t="str">
        <f t="shared" si="38"/>
        <v/>
      </c>
      <c r="CQ31" s="71" t="str">
        <f t="shared" si="38"/>
        <v/>
      </c>
      <c r="CR31" s="71"/>
      <c r="CS31" s="71">
        <v>30</v>
      </c>
      <c r="CT31" s="71" t="str">
        <f t="shared" si="39"/>
        <v/>
      </c>
      <c r="CU31" s="71" t="str">
        <f t="shared" si="39"/>
        <v/>
      </c>
      <c r="CV31" s="71" t="str">
        <f t="shared" si="39"/>
        <v/>
      </c>
      <c r="CW31" s="71" t="str">
        <f t="shared" si="39"/>
        <v/>
      </c>
      <c r="CX31" s="71" t="str">
        <f t="shared" si="39"/>
        <v/>
      </c>
      <c r="CY31" s="71" t="str">
        <f t="shared" si="39"/>
        <v/>
      </c>
      <c r="CZ31" s="71" t="str">
        <f t="shared" si="39"/>
        <v/>
      </c>
      <c r="DA31" s="71" t="str">
        <f t="shared" si="39"/>
        <v/>
      </c>
      <c r="DB31" s="71" t="str">
        <f t="shared" si="39"/>
        <v/>
      </c>
      <c r="DC31" s="72" t="str">
        <f t="shared" si="39"/>
        <v/>
      </c>
    </row>
    <row r="32" spans="1:107" x14ac:dyDescent="0.35">
      <c r="A32" s="52">
        <v>59</v>
      </c>
      <c r="B32" s="52">
        <v>31</v>
      </c>
      <c r="C32" s="89">
        <v>4</v>
      </c>
      <c r="D32" s="89">
        <v>1</v>
      </c>
      <c r="E32" s="80" t="s">
        <v>226</v>
      </c>
      <c r="F32" s="55">
        <v>0.62</v>
      </c>
      <c r="G32" s="53">
        <v>258</v>
      </c>
      <c r="H32" s="76">
        <f t="shared" ref="H32:H38" si="68">(F32*G32)</f>
        <v>159.96</v>
      </c>
      <c r="I32" s="90">
        <v>94</v>
      </c>
      <c r="J32" s="58">
        <f t="shared" ref="J32:J38" si="69">PRODUCT(F32,I32)</f>
        <v>58.28</v>
      </c>
      <c r="K32" s="57"/>
      <c r="L32" s="58">
        <f t="shared" si="11"/>
        <v>0</v>
      </c>
      <c r="M32" s="90">
        <v>182</v>
      </c>
      <c r="N32" s="58">
        <f t="shared" ref="N32:N38" si="70">PRODUCT(F32*M32)</f>
        <v>112.84</v>
      </c>
      <c r="O32" s="90">
        <v>162</v>
      </c>
      <c r="P32" s="58">
        <f t="shared" ref="P32:P38" si="71">PRODUCT(F32*O32)</f>
        <v>100.44</v>
      </c>
      <c r="Q32" s="90">
        <v>103</v>
      </c>
      <c r="R32" s="58">
        <f t="shared" ref="R32:R38" si="72">PRODUCT(F32*Q32)</f>
        <v>63.86</v>
      </c>
      <c r="S32" s="90">
        <v>169</v>
      </c>
      <c r="T32" s="58">
        <f t="shared" ref="T32:T38" si="73">PRODUCT(F32*S32)</f>
        <v>104.78</v>
      </c>
      <c r="U32" s="57">
        <v>119</v>
      </c>
      <c r="V32" s="58">
        <f t="shared" ref="V32:V38" si="74">PRODUCT(U32*F32)</f>
        <v>73.78</v>
      </c>
      <c r="W32" s="90">
        <v>128</v>
      </c>
      <c r="X32" s="58">
        <f t="shared" ref="X32:X38" si="75">PRODUCT(W32*F32)</f>
        <v>79.36</v>
      </c>
      <c r="Y32" s="57">
        <v>130</v>
      </c>
      <c r="Z32" s="58">
        <f t="shared" ref="Z32:Z38" si="76">PRODUCT(Y32*F32)</f>
        <v>80.599999999999994</v>
      </c>
      <c r="AA32" s="57">
        <v>130</v>
      </c>
      <c r="AB32" s="58">
        <f t="shared" ref="AB32:AB38" si="77">PRODUCT(AA32*F32)</f>
        <v>80.599999999999994</v>
      </c>
      <c r="AC32" s="57">
        <v>179</v>
      </c>
      <c r="AD32" s="58">
        <f t="shared" ref="AD32:AD38" si="78">PRODUCT(AC32*F32)</f>
        <v>110.98</v>
      </c>
      <c r="AE32" s="57">
        <v>119</v>
      </c>
      <c r="AF32" s="58">
        <f t="shared" ref="AF32:AF38" si="79">PRODUCT(F32,AE32)</f>
        <v>73.78</v>
      </c>
      <c r="AG32" s="57">
        <v>126</v>
      </c>
      <c r="AH32" s="58">
        <v>84</v>
      </c>
      <c r="AI32" s="61">
        <v>131</v>
      </c>
      <c r="AJ32" s="58">
        <v>88</v>
      </c>
      <c r="AK32" s="73">
        <v>132</v>
      </c>
      <c r="AL32" s="58">
        <f t="shared" ref="AL32:AL38" si="80">PRODUCT(F32,AK32)</f>
        <v>81.84</v>
      </c>
      <c r="AM32" s="61">
        <v>121</v>
      </c>
      <c r="AN32" s="58">
        <f t="shared" ref="AN32:AN38" si="81">PRODUCT(F32,AM32)</f>
        <v>75.02</v>
      </c>
      <c r="AO32" s="61">
        <v>137</v>
      </c>
      <c r="AP32" s="58">
        <f t="shared" ref="AP32:AP38" si="82">PRODUCT( F32*AO32)</f>
        <v>84.94</v>
      </c>
      <c r="AQ32" s="61">
        <v>101</v>
      </c>
      <c r="AR32" s="58">
        <f t="shared" ref="AR32:AR38" si="83">PRODUCT( F32*AQ32)</f>
        <v>62.62</v>
      </c>
      <c r="AS32" s="57">
        <v>127</v>
      </c>
      <c r="AT32" s="58">
        <f t="shared" ref="AT32:AT38" si="84">PRODUCT( F32*AS32)</f>
        <v>78.739999999999995</v>
      </c>
      <c r="AU32" s="57">
        <v>74</v>
      </c>
      <c r="AV32" s="58">
        <f t="shared" ref="AV32:AV38" si="85">PRODUCT( F32*AU32)</f>
        <v>45.88</v>
      </c>
      <c r="AW32" s="57">
        <v>70</v>
      </c>
      <c r="AX32" s="58">
        <f t="shared" ref="AX32:AX38" si="86">PRODUCT(F32*AW32)</f>
        <v>43.4</v>
      </c>
      <c r="AY32" s="57">
        <v>55</v>
      </c>
      <c r="AZ32" s="58">
        <f t="shared" ref="AZ32:AZ38" si="87">PRODUCT(F32*AY32)</f>
        <v>34.1</v>
      </c>
      <c r="BA32" s="57">
        <v>51</v>
      </c>
      <c r="BB32" s="58">
        <f t="shared" ref="BB32:BB38" si="88">PRODUCT(F32*BA32)</f>
        <v>31.62</v>
      </c>
      <c r="BC32" s="57">
        <v>48</v>
      </c>
      <c r="BD32" s="58">
        <f t="shared" ref="BD32:BD38" si="89">PRODUCT(F32*BC32)</f>
        <v>29.759999999999998</v>
      </c>
      <c r="BE32" s="57">
        <v>70</v>
      </c>
      <c r="BF32" s="58">
        <f t="shared" ref="BF32:BF38" si="90">PRODUCT(F32*BE32)</f>
        <v>43.4</v>
      </c>
      <c r="BG32" s="57">
        <v>113</v>
      </c>
      <c r="BH32" s="58">
        <f t="shared" ref="BH32:BH38" si="91">PRODUCT(F32*BG32)</f>
        <v>70.06</v>
      </c>
      <c r="BI32" s="57">
        <v>70</v>
      </c>
      <c r="BJ32" s="58">
        <f t="shared" ref="BJ32:BJ38" si="92">PRODUCT(F32*BI32)</f>
        <v>43.4</v>
      </c>
      <c r="BK32" s="62">
        <f t="shared" ref="BK32:BL38" si="93">I32</f>
        <v>94</v>
      </c>
      <c r="BL32" s="63">
        <f t="shared" si="93"/>
        <v>58.28</v>
      </c>
      <c r="BM32" s="91"/>
      <c r="BN32" s="91"/>
      <c r="BO32" s="64">
        <v>52</v>
      </c>
      <c r="BP32" s="64">
        <v>4</v>
      </c>
      <c r="BQ32" s="64">
        <v>52.04</v>
      </c>
      <c r="BR32" s="92" t="s">
        <v>179</v>
      </c>
      <c r="BS32" s="65" t="s">
        <v>226</v>
      </c>
      <c r="BT32" s="65" t="s">
        <v>227</v>
      </c>
      <c r="BU32" s="37" t="s">
        <v>175</v>
      </c>
      <c r="BV32" s="66">
        <f t="shared" si="5"/>
        <v>13962.317746666666</v>
      </c>
      <c r="BW32" s="66">
        <f t="shared" si="1"/>
        <v>4110.2295665289839</v>
      </c>
      <c r="BX32" s="66">
        <f t="shared" si="2"/>
        <v>29.43801767804813</v>
      </c>
      <c r="BY32" s="67"/>
      <c r="BZ32" s="68">
        <v>31</v>
      </c>
      <c r="CA32" s="74" t="s">
        <v>29</v>
      </c>
      <c r="CB32" s="69">
        <f t="shared" si="6"/>
        <v>0</v>
      </c>
      <c r="CC32" s="69">
        <f t="shared" si="7"/>
        <v>0</v>
      </c>
      <c r="CD32" s="70"/>
      <c r="CE32" s="71"/>
      <c r="CF32" s="71"/>
      <c r="CG32" s="71">
        <v>31</v>
      </c>
      <c r="CH32" s="71" t="str">
        <f t="shared" si="38"/>
        <v/>
      </c>
      <c r="CI32" s="71" t="str">
        <f t="shared" si="38"/>
        <v/>
      </c>
      <c r="CJ32" s="71" t="str">
        <f t="shared" si="38"/>
        <v/>
      </c>
      <c r="CK32" s="71" t="str">
        <f t="shared" si="38"/>
        <v/>
      </c>
      <c r="CL32" s="71" t="str">
        <f t="shared" si="38"/>
        <v/>
      </c>
      <c r="CM32" s="71" t="str">
        <f t="shared" si="38"/>
        <v/>
      </c>
      <c r="CN32" s="71" t="str">
        <f t="shared" si="38"/>
        <v/>
      </c>
      <c r="CO32" s="71" t="str">
        <f t="shared" si="38"/>
        <v/>
      </c>
      <c r="CP32" s="71" t="str">
        <f t="shared" si="38"/>
        <v/>
      </c>
      <c r="CQ32" s="71" t="str">
        <f t="shared" si="38"/>
        <v/>
      </c>
      <c r="CR32" s="71"/>
      <c r="CS32" s="71">
        <v>31</v>
      </c>
      <c r="CT32" s="71" t="str">
        <f t="shared" si="39"/>
        <v/>
      </c>
      <c r="CU32" s="71" t="str">
        <f t="shared" si="39"/>
        <v/>
      </c>
      <c r="CV32" s="71" t="str">
        <f t="shared" si="39"/>
        <v/>
      </c>
      <c r="CW32" s="71" t="str">
        <f t="shared" si="39"/>
        <v/>
      </c>
      <c r="CX32" s="71" t="str">
        <f t="shared" si="39"/>
        <v/>
      </c>
      <c r="CY32" s="71" t="str">
        <f t="shared" si="39"/>
        <v/>
      </c>
      <c r="CZ32" s="71" t="str">
        <f t="shared" si="39"/>
        <v/>
      </c>
      <c r="DA32" s="71" t="str">
        <f t="shared" si="39"/>
        <v/>
      </c>
      <c r="DB32" s="71" t="str">
        <f t="shared" si="39"/>
        <v/>
      </c>
      <c r="DC32" s="72" t="str">
        <f t="shared" si="39"/>
        <v/>
      </c>
    </row>
    <row r="33" spans="1:107" x14ac:dyDescent="0.35">
      <c r="A33" s="52">
        <v>60</v>
      </c>
      <c r="B33" s="52">
        <v>32</v>
      </c>
      <c r="C33" s="52">
        <v>4</v>
      </c>
      <c r="D33" s="52">
        <v>1</v>
      </c>
      <c r="E33" s="80" t="s">
        <v>228</v>
      </c>
      <c r="F33" s="55">
        <v>0.62</v>
      </c>
      <c r="G33" s="53">
        <v>844</v>
      </c>
      <c r="H33" s="76">
        <f t="shared" si="68"/>
        <v>523.28</v>
      </c>
      <c r="I33" s="77">
        <v>307</v>
      </c>
      <c r="J33" s="58">
        <f t="shared" si="69"/>
        <v>190.34</v>
      </c>
      <c r="K33" s="57"/>
      <c r="L33" s="58">
        <f t="shared" si="11"/>
        <v>0</v>
      </c>
      <c r="M33" s="77">
        <v>666</v>
      </c>
      <c r="N33" s="58">
        <f t="shared" si="70"/>
        <v>412.92</v>
      </c>
      <c r="O33" s="77">
        <v>612</v>
      </c>
      <c r="P33" s="58">
        <f t="shared" si="71"/>
        <v>379.44</v>
      </c>
      <c r="Q33" s="77">
        <v>552</v>
      </c>
      <c r="R33" s="58">
        <f t="shared" si="72"/>
        <v>342.24</v>
      </c>
      <c r="S33" s="77">
        <v>625</v>
      </c>
      <c r="T33" s="58">
        <f t="shared" si="73"/>
        <v>387.5</v>
      </c>
      <c r="U33" s="57">
        <v>494</v>
      </c>
      <c r="V33" s="58">
        <f t="shared" si="74"/>
        <v>306.27999999999997</v>
      </c>
      <c r="W33" s="77">
        <v>528</v>
      </c>
      <c r="X33" s="58">
        <f t="shared" si="75"/>
        <v>327.36</v>
      </c>
      <c r="Y33" s="57">
        <v>582</v>
      </c>
      <c r="Z33" s="58">
        <f t="shared" si="76"/>
        <v>360.84</v>
      </c>
      <c r="AA33" s="57">
        <v>439</v>
      </c>
      <c r="AB33" s="58">
        <f t="shared" si="77"/>
        <v>272.18</v>
      </c>
      <c r="AC33" s="57">
        <v>432</v>
      </c>
      <c r="AD33" s="58">
        <f t="shared" si="78"/>
        <v>267.83999999999997</v>
      </c>
      <c r="AE33" s="57">
        <v>426</v>
      </c>
      <c r="AF33" s="58">
        <f t="shared" si="79"/>
        <v>264.12</v>
      </c>
      <c r="AG33" s="57">
        <v>480</v>
      </c>
      <c r="AH33" s="58">
        <f t="shared" ref="AH33:AH38" si="94">PRODUCT(F33,AG33)</f>
        <v>297.60000000000002</v>
      </c>
      <c r="AI33" s="61">
        <v>576</v>
      </c>
      <c r="AJ33" s="58">
        <f t="shared" ref="AJ33:AJ38" si="95">PRODUCT(F33,AI33)</f>
        <v>357.12</v>
      </c>
      <c r="AK33" s="73">
        <v>662</v>
      </c>
      <c r="AL33" s="58">
        <f t="shared" si="80"/>
        <v>410.44</v>
      </c>
      <c r="AM33" s="61">
        <v>742</v>
      </c>
      <c r="AN33" s="58">
        <f t="shared" si="81"/>
        <v>460.04</v>
      </c>
      <c r="AO33" s="61">
        <v>324</v>
      </c>
      <c r="AP33" s="58">
        <f t="shared" si="82"/>
        <v>200.88</v>
      </c>
      <c r="AQ33" s="61">
        <v>238</v>
      </c>
      <c r="AR33" s="58">
        <f t="shared" si="83"/>
        <v>147.56</v>
      </c>
      <c r="AS33" s="57">
        <v>598</v>
      </c>
      <c r="AT33" s="58">
        <f t="shared" si="84"/>
        <v>370.76</v>
      </c>
      <c r="AU33" s="57">
        <v>291</v>
      </c>
      <c r="AV33" s="58">
        <f t="shared" si="85"/>
        <v>180.42</v>
      </c>
      <c r="AW33" s="57">
        <v>343</v>
      </c>
      <c r="AX33" s="58">
        <f t="shared" si="86"/>
        <v>212.66</v>
      </c>
      <c r="AY33" s="57">
        <v>365</v>
      </c>
      <c r="AZ33" s="58">
        <f t="shared" si="87"/>
        <v>226.3</v>
      </c>
      <c r="BA33" s="57">
        <v>262</v>
      </c>
      <c r="BB33" s="58">
        <f t="shared" si="88"/>
        <v>162.44</v>
      </c>
      <c r="BC33" s="57">
        <v>206</v>
      </c>
      <c r="BD33" s="58">
        <f t="shared" si="89"/>
        <v>127.72</v>
      </c>
      <c r="BE33" s="57">
        <v>263</v>
      </c>
      <c r="BF33" s="58">
        <f t="shared" si="90"/>
        <v>163.06</v>
      </c>
      <c r="BG33" s="57">
        <v>291</v>
      </c>
      <c r="BH33" s="58">
        <f t="shared" si="91"/>
        <v>180.42</v>
      </c>
      <c r="BI33" s="57">
        <v>299</v>
      </c>
      <c r="BJ33" s="58">
        <f t="shared" si="92"/>
        <v>185.38</v>
      </c>
      <c r="BK33" s="62">
        <f t="shared" si="93"/>
        <v>307</v>
      </c>
      <c r="BL33" s="63">
        <f t="shared" si="93"/>
        <v>190.34</v>
      </c>
      <c r="BO33" s="64">
        <v>52</v>
      </c>
      <c r="BP33" s="64">
        <v>5</v>
      </c>
      <c r="BQ33" s="64">
        <v>52.05</v>
      </c>
      <c r="BR33" s="34" t="s">
        <v>179</v>
      </c>
      <c r="BS33" s="65" t="s">
        <v>228</v>
      </c>
      <c r="BT33" s="65" t="s">
        <v>227</v>
      </c>
      <c r="BU33" s="37" t="s">
        <v>175</v>
      </c>
      <c r="BV33" s="66">
        <f t="shared" si="5"/>
        <v>47074.533746666661</v>
      </c>
      <c r="BW33" s="66">
        <f t="shared" si="1"/>
        <v>3129.6445558530327</v>
      </c>
      <c r="BX33" s="66">
        <f t="shared" si="2"/>
        <v>6.6482752069204345</v>
      </c>
      <c r="BY33" s="67"/>
      <c r="BZ33" s="68">
        <v>32</v>
      </c>
      <c r="CA33" s="74" t="s">
        <v>30</v>
      </c>
      <c r="CB33" s="69">
        <f t="shared" si="6"/>
        <v>0</v>
      </c>
      <c r="CC33" s="69">
        <f t="shared" si="7"/>
        <v>0</v>
      </c>
      <c r="CD33" s="70"/>
      <c r="CE33" s="71"/>
      <c r="CF33" s="71"/>
      <c r="CG33" s="71">
        <v>32</v>
      </c>
      <c r="CH33" s="71" t="str">
        <f t="shared" si="38"/>
        <v/>
      </c>
      <c r="CI33" s="71" t="str">
        <f t="shared" si="38"/>
        <v/>
      </c>
      <c r="CJ33" s="71" t="str">
        <f t="shared" si="38"/>
        <v/>
      </c>
      <c r="CK33" s="71" t="str">
        <f t="shared" si="38"/>
        <v/>
      </c>
      <c r="CL33" s="71" t="str">
        <f t="shared" si="38"/>
        <v/>
      </c>
      <c r="CM33" s="71" t="str">
        <f t="shared" si="38"/>
        <v/>
      </c>
      <c r="CN33" s="71" t="str">
        <f t="shared" si="38"/>
        <v/>
      </c>
      <c r="CO33" s="71" t="str">
        <f t="shared" si="38"/>
        <v/>
      </c>
      <c r="CP33" s="71" t="str">
        <f t="shared" si="38"/>
        <v/>
      </c>
      <c r="CQ33" s="71" t="str">
        <f t="shared" si="38"/>
        <v/>
      </c>
      <c r="CR33" s="71"/>
      <c r="CS33" s="71">
        <v>32</v>
      </c>
      <c r="CT33" s="71" t="str">
        <f t="shared" si="39"/>
        <v/>
      </c>
      <c r="CU33" s="71" t="str">
        <f t="shared" si="39"/>
        <v/>
      </c>
      <c r="CV33" s="71" t="str">
        <f t="shared" si="39"/>
        <v/>
      </c>
      <c r="CW33" s="71" t="str">
        <f t="shared" si="39"/>
        <v/>
      </c>
      <c r="CX33" s="71" t="str">
        <f t="shared" si="39"/>
        <v/>
      </c>
      <c r="CY33" s="71" t="str">
        <f t="shared" si="39"/>
        <v/>
      </c>
      <c r="CZ33" s="71" t="str">
        <f t="shared" si="39"/>
        <v/>
      </c>
      <c r="DA33" s="71" t="str">
        <f t="shared" si="39"/>
        <v/>
      </c>
      <c r="DB33" s="71" t="str">
        <f t="shared" si="39"/>
        <v/>
      </c>
      <c r="DC33" s="72" t="str">
        <f t="shared" si="39"/>
        <v/>
      </c>
    </row>
    <row r="34" spans="1:107" x14ac:dyDescent="0.35">
      <c r="A34" s="52">
        <v>62</v>
      </c>
      <c r="B34" s="52">
        <v>33</v>
      </c>
      <c r="C34" s="52">
        <v>4</v>
      </c>
      <c r="D34" s="52">
        <v>1</v>
      </c>
      <c r="E34" s="80" t="s">
        <v>229</v>
      </c>
      <c r="F34" s="55">
        <v>0.62</v>
      </c>
      <c r="G34" s="53">
        <v>290</v>
      </c>
      <c r="H34" s="76">
        <f t="shared" si="68"/>
        <v>179.8</v>
      </c>
      <c r="I34" s="77">
        <v>106</v>
      </c>
      <c r="J34" s="58">
        <f t="shared" si="69"/>
        <v>65.72</v>
      </c>
      <c r="K34" s="57"/>
      <c r="L34" s="58">
        <f t="shared" si="11"/>
        <v>0</v>
      </c>
      <c r="M34" s="77">
        <v>348</v>
      </c>
      <c r="N34" s="58">
        <f t="shared" si="70"/>
        <v>215.76</v>
      </c>
      <c r="O34" s="77">
        <v>326</v>
      </c>
      <c r="P34" s="58">
        <f t="shared" si="71"/>
        <v>202.12</v>
      </c>
      <c r="Q34" s="77">
        <v>397</v>
      </c>
      <c r="R34" s="58">
        <f t="shared" si="72"/>
        <v>246.14</v>
      </c>
      <c r="S34" s="77">
        <v>257</v>
      </c>
      <c r="T34" s="58">
        <f t="shared" si="73"/>
        <v>159.34</v>
      </c>
      <c r="U34" s="57">
        <v>454</v>
      </c>
      <c r="V34" s="58">
        <f t="shared" si="74"/>
        <v>281.48</v>
      </c>
      <c r="W34" s="77">
        <v>438</v>
      </c>
      <c r="X34" s="58">
        <f t="shared" si="75"/>
        <v>271.56</v>
      </c>
      <c r="Y34" s="57">
        <v>258</v>
      </c>
      <c r="Z34" s="58">
        <f t="shared" si="76"/>
        <v>159.96</v>
      </c>
      <c r="AA34" s="57">
        <v>452</v>
      </c>
      <c r="AB34" s="58">
        <f t="shared" si="77"/>
        <v>280.24</v>
      </c>
      <c r="AC34" s="57">
        <v>543</v>
      </c>
      <c r="AD34" s="58">
        <f t="shared" si="78"/>
        <v>336.66</v>
      </c>
      <c r="AE34" s="57">
        <v>510</v>
      </c>
      <c r="AF34" s="58">
        <f t="shared" si="79"/>
        <v>316.2</v>
      </c>
      <c r="AG34" s="57">
        <v>501</v>
      </c>
      <c r="AH34" s="58">
        <f t="shared" si="94"/>
        <v>310.62</v>
      </c>
      <c r="AI34" s="61">
        <v>479</v>
      </c>
      <c r="AJ34" s="58">
        <f t="shared" si="95"/>
        <v>296.98</v>
      </c>
      <c r="AK34" s="73">
        <v>413</v>
      </c>
      <c r="AL34" s="58">
        <f t="shared" si="80"/>
        <v>256.06</v>
      </c>
      <c r="AM34" s="61">
        <v>219</v>
      </c>
      <c r="AN34" s="58">
        <f t="shared" si="81"/>
        <v>135.78</v>
      </c>
      <c r="AO34" s="61">
        <v>219</v>
      </c>
      <c r="AP34" s="58">
        <f t="shared" si="82"/>
        <v>135.78</v>
      </c>
      <c r="AQ34" s="61">
        <v>113</v>
      </c>
      <c r="AR34" s="58">
        <f t="shared" si="83"/>
        <v>70.06</v>
      </c>
      <c r="AS34" s="57">
        <v>121</v>
      </c>
      <c r="AT34" s="58">
        <f t="shared" si="84"/>
        <v>75.02</v>
      </c>
      <c r="AU34" s="57">
        <v>69</v>
      </c>
      <c r="AV34" s="58">
        <f t="shared" si="85"/>
        <v>42.78</v>
      </c>
      <c r="AW34" s="57">
        <v>61</v>
      </c>
      <c r="AX34" s="58">
        <f t="shared" si="86"/>
        <v>37.82</v>
      </c>
      <c r="AY34" s="57">
        <v>64</v>
      </c>
      <c r="AZ34" s="58">
        <f t="shared" si="87"/>
        <v>39.68</v>
      </c>
      <c r="BA34" s="57">
        <v>87</v>
      </c>
      <c r="BB34" s="58">
        <f t="shared" si="88"/>
        <v>53.94</v>
      </c>
      <c r="BC34" s="57">
        <v>86</v>
      </c>
      <c r="BD34" s="58">
        <f t="shared" si="89"/>
        <v>53.32</v>
      </c>
      <c r="BE34" s="57">
        <v>99</v>
      </c>
      <c r="BF34" s="58">
        <f t="shared" si="90"/>
        <v>61.38</v>
      </c>
      <c r="BG34" s="57">
        <v>209</v>
      </c>
      <c r="BH34" s="58">
        <f t="shared" si="91"/>
        <v>129.58000000000001</v>
      </c>
      <c r="BI34" s="57">
        <v>100</v>
      </c>
      <c r="BJ34" s="58">
        <f t="shared" si="92"/>
        <v>62</v>
      </c>
      <c r="BK34" s="62">
        <f t="shared" si="93"/>
        <v>106</v>
      </c>
      <c r="BL34" s="63">
        <f t="shared" si="93"/>
        <v>65.72</v>
      </c>
      <c r="BO34" s="64">
        <v>52</v>
      </c>
      <c r="BP34" s="64">
        <v>6</v>
      </c>
      <c r="BQ34" s="64">
        <v>52.06</v>
      </c>
      <c r="BR34" s="34" t="s">
        <v>179</v>
      </c>
      <c r="BS34" s="65" t="s">
        <v>229</v>
      </c>
      <c r="BT34" s="65" t="s">
        <v>222</v>
      </c>
      <c r="BU34" s="37" t="s">
        <v>175</v>
      </c>
      <c r="BV34" s="66">
        <f t="shared" si="5"/>
        <v>22516.30688</v>
      </c>
      <c r="BW34" s="66">
        <f t="shared" si="1"/>
        <v>10467.074731243363</v>
      </c>
      <c r="BX34" s="66">
        <f t="shared" si="2"/>
        <v>46.486640935511012</v>
      </c>
      <c r="BY34" s="67"/>
      <c r="BZ34" s="68">
        <v>33</v>
      </c>
      <c r="CA34" s="74" t="s">
        <v>31</v>
      </c>
      <c r="CB34" s="69">
        <f t="shared" si="6"/>
        <v>0</v>
      </c>
      <c r="CC34" s="69">
        <f t="shared" si="7"/>
        <v>0</v>
      </c>
      <c r="CD34" s="70"/>
      <c r="CE34" s="71"/>
      <c r="CF34" s="71"/>
      <c r="CG34" s="71">
        <v>33</v>
      </c>
      <c r="CH34" s="71" t="str">
        <f t="shared" ref="CH34:CQ49" si="96">IF(LOOKUP($CG34+CH$1/100,$BQ$2:$BQ$76,$BQ$2:$BQ$76)=  $CG34+CH$1/100,             LOOKUP($CG34+CH$1/100,$BQ$2:$BQ$76,$BV$2:$BV$76), "")</f>
        <v/>
      </c>
      <c r="CI34" s="71" t="str">
        <f t="shared" si="96"/>
        <v/>
      </c>
      <c r="CJ34" s="71" t="str">
        <f t="shared" si="96"/>
        <v/>
      </c>
      <c r="CK34" s="71" t="str">
        <f t="shared" si="96"/>
        <v/>
      </c>
      <c r="CL34" s="71" t="str">
        <f t="shared" si="96"/>
        <v/>
      </c>
      <c r="CM34" s="71" t="str">
        <f t="shared" si="96"/>
        <v/>
      </c>
      <c r="CN34" s="71" t="str">
        <f t="shared" si="96"/>
        <v/>
      </c>
      <c r="CO34" s="71" t="str">
        <f t="shared" si="96"/>
        <v/>
      </c>
      <c r="CP34" s="71" t="str">
        <f t="shared" si="96"/>
        <v/>
      </c>
      <c r="CQ34" s="71" t="str">
        <f t="shared" si="96"/>
        <v/>
      </c>
      <c r="CR34" s="71"/>
      <c r="CS34" s="71">
        <v>33</v>
      </c>
      <c r="CT34" s="71" t="str">
        <f t="shared" ref="CT34:DC49" si="97">IF(LOOKUP($CS34+CT$1/100,$BQ$2:$BQ$76,$BQ$2:$BQ$76)=  $CS34+CT$1/100,             LOOKUP($CS34+CT$1/100,$BQ$2:$BQ$76,$BW$2:$BW$76)^2, "")</f>
        <v/>
      </c>
      <c r="CU34" s="71" t="str">
        <f t="shared" si="97"/>
        <v/>
      </c>
      <c r="CV34" s="71" t="str">
        <f t="shared" si="97"/>
        <v/>
      </c>
      <c r="CW34" s="71" t="str">
        <f t="shared" si="97"/>
        <v/>
      </c>
      <c r="CX34" s="71" t="str">
        <f t="shared" si="97"/>
        <v/>
      </c>
      <c r="CY34" s="71" t="str">
        <f t="shared" si="97"/>
        <v/>
      </c>
      <c r="CZ34" s="71" t="str">
        <f t="shared" si="97"/>
        <v/>
      </c>
      <c r="DA34" s="71" t="str">
        <f t="shared" si="97"/>
        <v/>
      </c>
      <c r="DB34" s="71" t="str">
        <f t="shared" si="97"/>
        <v/>
      </c>
      <c r="DC34" s="72" t="str">
        <f t="shared" si="97"/>
        <v/>
      </c>
    </row>
    <row r="35" spans="1:107" x14ac:dyDescent="0.35">
      <c r="A35" s="52">
        <v>63</v>
      </c>
      <c r="B35" s="52">
        <v>34</v>
      </c>
      <c r="C35" s="52">
        <v>4</v>
      </c>
      <c r="D35" s="52">
        <v>1</v>
      </c>
      <c r="E35" s="80" t="s">
        <v>230</v>
      </c>
      <c r="F35" s="55">
        <v>0.62</v>
      </c>
      <c r="G35" s="53">
        <v>974</v>
      </c>
      <c r="H35" s="76">
        <f t="shared" si="68"/>
        <v>603.88</v>
      </c>
      <c r="I35" s="77">
        <v>356</v>
      </c>
      <c r="J35" s="58">
        <f t="shared" si="69"/>
        <v>220.72</v>
      </c>
      <c r="K35" s="57"/>
      <c r="L35" s="58">
        <f t="shared" si="11"/>
        <v>0</v>
      </c>
      <c r="M35" s="77">
        <v>885</v>
      </c>
      <c r="N35" s="58">
        <f t="shared" si="70"/>
        <v>548.70000000000005</v>
      </c>
      <c r="O35" s="77">
        <v>782</v>
      </c>
      <c r="P35" s="58">
        <f t="shared" si="71"/>
        <v>484.84</v>
      </c>
      <c r="Q35" s="77">
        <v>698</v>
      </c>
      <c r="R35" s="58">
        <f t="shared" si="72"/>
        <v>432.76</v>
      </c>
      <c r="S35" s="77">
        <v>809</v>
      </c>
      <c r="T35" s="58">
        <f t="shared" si="73"/>
        <v>501.58</v>
      </c>
      <c r="U35" s="57">
        <v>512</v>
      </c>
      <c r="V35" s="58">
        <f t="shared" si="74"/>
        <v>317.44</v>
      </c>
      <c r="W35" s="77">
        <v>572</v>
      </c>
      <c r="X35" s="58">
        <f t="shared" si="75"/>
        <v>354.64</v>
      </c>
      <c r="Y35" s="57">
        <v>599</v>
      </c>
      <c r="Z35" s="58">
        <f t="shared" si="76"/>
        <v>371.38</v>
      </c>
      <c r="AA35" s="57">
        <v>535</v>
      </c>
      <c r="AB35" s="58">
        <f t="shared" si="77"/>
        <v>331.7</v>
      </c>
      <c r="AC35" s="57">
        <v>645</v>
      </c>
      <c r="AD35" s="58">
        <f t="shared" si="78"/>
        <v>399.9</v>
      </c>
      <c r="AE35" s="57">
        <v>428</v>
      </c>
      <c r="AF35" s="58">
        <f t="shared" si="79"/>
        <v>265.36</v>
      </c>
      <c r="AG35" s="57">
        <v>536</v>
      </c>
      <c r="AH35" s="58">
        <f t="shared" si="94"/>
        <v>332.32</v>
      </c>
      <c r="AI35" s="61">
        <v>540</v>
      </c>
      <c r="AJ35" s="58">
        <f t="shared" si="95"/>
        <v>334.8</v>
      </c>
      <c r="AK35" s="73">
        <v>616</v>
      </c>
      <c r="AL35" s="58">
        <f t="shared" si="80"/>
        <v>381.92</v>
      </c>
      <c r="AM35" s="61">
        <v>1425</v>
      </c>
      <c r="AN35" s="58">
        <f t="shared" si="81"/>
        <v>883.5</v>
      </c>
      <c r="AO35" s="61">
        <v>605</v>
      </c>
      <c r="AP35" s="58">
        <f t="shared" si="82"/>
        <v>375.1</v>
      </c>
      <c r="AQ35" s="61">
        <v>245</v>
      </c>
      <c r="AR35" s="58">
        <f t="shared" si="83"/>
        <v>151.9</v>
      </c>
      <c r="AS35" s="57">
        <v>259</v>
      </c>
      <c r="AT35" s="58">
        <f t="shared" si="84"/>
        <v>160.58000000000001</v>
      </c>
      <c r="AU35" s="57">
        <v>179</v>
      </c>
      <c r="AV35" s="58">
        <f t="shared" si="85"/>
        <v>110.98</v>
      </c>
      <c r="AW35" s="57">
        <v>300</v>
      </c>
      <c r="AX35" s="58">
        <f t="shared" si="86"/>
        <v>186</v>
      </c>
      <c r="AY35" s="57">
        <v>352</v>
      </c>
      <c r="AZ35" s="58">
        <f t="shared" si="87"/>
        <v>218.24</v>
      </c>
      <c r="BA35" s="57">
        <v>245</v>
      </c>
      <c r="BB35" s="58">
        <f t="shared" si="88"/>
        <v>151.9</v>
      </c>
      <c r="BC35" s="57">
        <v>198</v>
      </c>
      <c r="BD35" s="58">
        <f t="shared" si="89"/>
        <v>122.76</v>
      </c>
      <c r="BE35" s="57">
        <v>305</v>
      </c>
      <c r="BF35" s="58">
        <f t="shared" si="90"/>
        <v>189.1</v>
      </c>
      <c r="BG35" s="57">
        <v>386</v>
      </c>
      <c r="BH35" s="58">
        <f t="shared" si="91"/>
        <v>239.32</v>
      </c>
      <c r="BI35" s="57">
        <v>250</v>
      </c>
      <c r="BJ35" s="58">
        <f t="shared" si="92"/>
        <v>155</v>
      </c>
      <c r="BK35" s="62">
        <f t="shared" si="93"/>
        <v>356</v>
      </c>
      <c r="BL35" s="63">
        <f t="shared" si="93"/>
        <v>220.72</v>
      </c>
      <c r="BO35" s="64">
        <v>52</v>
      </c>
      <c r="BP35" s="64">
        <v>7</v>
      </c>
      <c r="BQ35" s="64">
        <v>52.07</v>
      </c>
      <c r="BR35" s="34" t="s">
        <v>179</v>
      </c>
      <c r="BS35" s="65" t="s">
        <v>230</v>
      </c>
      <c r="BT35" s="65" t="s">
        <v>225</v>
      </c>
      <c r="BU35" s="37" t="s">
        <v>175</v>
      </c>
      <c r="BV35" s="66">
        <f t="shared" si="5"/>
        <v>51930.992093333334</v>
      </c>
      <c r="BW35" s="66">
        <f t="shared" si="1"/>
        <v>11326.523830819582</v>
      </c>
      <c r="BX35" s="66">
        <f t="shared" si="2"/>
        <v>21.810721063181131</v>
      </c>
      <c r="BY35" s="67"/>
      <c r="BZ35" s="68">
        <v>34</v>
      </c>
      <c r="CA35" s="74" t="s">
        <v>32</v>
      </c>
      <c r="CB35" s="69">
        <f t="shared" si="6"/>
        <v>0</v>
      </c>
      <c r="CC35" s="69">
        <f t="shared" si="7"/>
        <v>0</v>
      </c>
      <c r="CD35" s="70"/>
      <c r="CE35" s="71"/>
      <c r="CF35" s="71"/>
      <c r="CG35" s="71">
        <v>34</v>
      </c>
      <c r="CH35" s="71" t="str">
        <f t="shared" si="96"/>
        <v/>
      </c>
      <c r="CI35" s="71" t="str">
        <f t="shared" si="96"/>
        <v/>
      </c>
      <c r="CJ35" s="71" t="str">
        <f t="shared" si="96"/>
        <v/>
      </c>
      <c r="CK35" s="71" t="str">
        <f t="shared" si="96"/>
        <v/>
      </c>
      <c r="CL35" s="71" t="str">
        <f t="shared" si="96"/>
        <v/>
      </c>
      <c r="CM35" s="71" t="str">
        <f t="shared" si="96"/>
        <v/>
      </c>
      <c r="CN35" s="71" t="str">
        <f t="shared" si="96"/>
        <v/>
      </c>
      <c r="CO35" s="71" t="str">
        <f t="shared" si="96"/>
        <v/>
      </c>
      <c r="CP35" s="71" t="str">
        <f t="shared" si="96"/>
        <v/>
      </c>
      <c r="CQ35" s="71" t="str">
        <f t="shared" si="96"/>
        <v/>
      </c>
      <c r="CR35" s="71"/>
      <c r="CS35" s="71">
        <v>34</v>
      </c>
      <c r="CT35" s="71" t="str">
        <f t="shared" si="97"/>
        <v/>
      </c>
      <c r="CU35" s="71" t="str">
        <f t="shared" si="97"/>
        <v/>
      </c>
      <c r="CV35" s="71" t="str">
        <f t="shared" si="97"/>
        <v/>
      </c>
      <c r="CW35" s="71" t="str">
        <f t="shared" si="97"/>
        <v/>
      </c>
      <c r="CX35" s="71" t="str">
        <f t="shared" si="97"/>
        <v/>
      </c>
      <c r="CY35" s="71" t="str">
        <f t="shared" si="97"/>
        <v/>
      </c>
      <c r="CZ35" s="71" t="str">
        <f t="shared" si="97"/>
        <v/>
      </c>
      <c r="DA35" s="71" t="str">
        <f t="shared" si="97"/>
        <v/>
      </c>
      <c r="DB35" s="71" t="str">
        <f t="shared" si="97"/>
        <v/>
      </c>
      <c r="DC35" s="72" t="str">
        <f t="shared" si="97"/>
        <v/>
      </c>
    </row>
    <row r="36" spans="1:107" x14ac:dyDescent="0.35">
      <c r="A36" s="52">
        <v>78</v>
      </c>
      <c r="B36" s="52">
        <v>35</v>
      </c>
      <c r="C36" s="52">
        <v>5</v>
      </c>
      <c r="D36" s="52">
        <v>1</v>
      </c>
      <c r="E36" s="80" t="s">
        <v>231</v>
      </c>
      <c r="F36" s="55">
        <v>0.79</v>
      </c>
      <c r="G36" s="53">
        <v>991</v>
      </c>
      <c r="H36" s="76">
        <f t="shared" si="68"/>
        <v>782.89</v>
      </c>
      <c r="I36" s="77">
        <v>362</v>
      </c>
      <c r="J36" s="58">
        <f t="shared" si="69"/>
        <v>285.98</v>
      </c>
      <c r="K36" s="57"/>
      <c r="L36" s="58">
        <f t="shared" si="11"/>
        <v>0</v>
      </c>
      <c r="M36" s="77">
        <v>584</v>
      </c>
      <c r="N36" s="58">
        <f t="shared" si="70"/>
        <v>461.36</v>
      </c>
      <c r="O36" s="77">
        <v>643</v>
      </c>
      <c r="P36" s="58">
        <f t="shared" si="71"/>
        <v>507.97</v>
      </c>
      <c r="Q36" s="77">
        <v>684</v>
      </c>
      <c r="R36" s="58">
        <f t="shared" si="72"/>
        <v>540.36</v>
      </c>
      <c r="S36" s="77">
        <v>887</v>
      </c>
      <c r="T36" s="58">
        <f t="shared" si="73"/>
        <v>700.73</v>
      </c>
      <c r="U36" s="57">
        <v>899</v>
      </c>
      <c r="V36" s="58">
        <f t="shared" si="74"/>
        <v>710.21</v>
      </c>
      <c r="W36" s="77">
        <v>826</v>
      </c>
      <c r="X36" s="58">
        <f t="shared" si="75"/>
        <v>652.54000000000008</v>
      </c>
      <c r="Y36" s="57">
        <v>567</v>
      </c>
      <c r="Z36" s="58">
        <f t="shared" si="76"/>
        <v>447.93</v>
      </c>
      <c r="AA36" s="57">
        <v>568</v>
      </c>
      <c r="AB36" s="58">
        <f t="shared" si="77"/>
        <v>448.72</v>
      </c>
      <c r="AC36" s="57">
        <v>609</v>
      </c>
      <c r="AD36" s="58">
        <f t="shared" si="78"/>
        <v>481.11</v>
      </c>
      <c r="AE36" s="57">
        <v>460</v>
      </c>
      <c r="AF36" s="58">
        <f t="shared" si="79"/>
        <v>363.40000000000003</v>
      </c>
      <c r="AG36" s="57">
        <v>435</v>
      </c>
      <c r="AH36" s="58">
        <f t="shared" si="94"/>
        <v>343.65000000000003</v>
      </c>
      <c r="AI36" s="61">
        <v>469</v>
      </c>
      <c r="AJ36" s="58">
        <f t="shared" si="95"/>
        <v>370.51</v>
      </c>
      <c r="AK36" s="73">
        <v>271</v>
      </c>
      <c r="AL36" s="58">
        <f t="shared" si="80"/>
        <v>214.09</v>
      </c>
      <c r="AM36" s="61">
        <v>253</v>
      </c>
      <c r="AN36" s="58">
        <f t="shared" si="81"/>
        <v>199.87</v>
      </c>
      <c r="AO36" s="61">
        <v>301</v>
      </c>
      <c r="AP36" s="58">
        <f t="shared" si="82"/>
        <v>237.79000000000002</v>
      </c>
      <c r="AQ36" s="61">
        <v>412</v>
      </c>
      <c r="AR36" s="58">
        <f t="shared" si="83"/>
        <v>325.48</v>
      </c>
      <c r="AS36" s="57">
        <v>377</v>
      </c>
      <c r="AT36" s="58">
        <f t="shared" si="84"/>
        <v>297.83000000000004</v>
      </c>
      <c r="AU36" s="57">
        <v>325</v>
      </c>
      <c r="AV36" s="58">
        <f t="shared" si="85"/>
        <v>256.75</v>
      </c>
      <c r="AW36" s="57">
        <v>444</v>
      </c>
      <c r="AX36" s="58">
        <f t="shared" si="86"/>
        <v>350.76</v>
      </c>
      <c r="AY36" s="57">
        <v>400</v>
      </c>
      <c r="AZ36" s="58">
        <f t="shared" si="87"/>
        <v>316</v>
      </c>
      <c r="BA36" s="57">
        <v>357</v>
      </c>
      <c r="BB36" s="58">
        <f t="shared" si="88"/>
        <v>282.03000000000003</v>
      </c>
      <c r="BC36" s="57">
        <v>228</v>
      </c>
      <c r="BD36" s="58">
        <f t="shared" si="89"/>
        <v>180.12</v>
      </c>
      <c r="BE36" s="57">
        <v>213</v>
      </c>
      <c r="BF36" s="58">
        <f t="shared" si="90"/>
        <v>168.27</v>
      </c>
      <c r="BG36" s="57">
        <v>271</v>
      </c>
      <c r="BH36" s="58">
        <f t="shared" si="91"/>
        <v>214.09</v>
      </c>
      <c r="BI36" s="57">
        <v>249</v>
      </c>
      <c r="BJ36" s="58">
        <f t="shared" si="92"/>
        <v>196.71</v>
      </c>
      <c r="BK36" s="62">
        <f t="shared" si="93"/>
        <v>362</v>
      </c>
      <c r="BL36" s="63">
        <f t="shared" si="93"/>
        <v>285.98</v>
      </c>
      <c r="BO36" s="64">
        <v>55</v>
      </c>
      <c r="BP36" s="64">
        <v>1</v>
      </c>
      <c r="BQ36" s="64">
        <v>55.01</v>
      </c>
      <c r="BR36" s="34" t="s">
        <v>179</v>
      </c>
      <c r="BS36" s="65" t="s">
        <v>231</v>
      </c>
      <c r="BT36" s="65" t="s">
        <v>232</v>
      </c>
      <c r="BU36" s="37" t="s">
        <v>175</v>
      </c>
      <c r="BV36" s="66">
        <f t="shared" si="5"/>
        <v>40452.090546666666</v>
      </c>
      <c r="BW36" s="66">
        <f t="shared" si="1"/>
        <v>4847.6706417993919</v>
      </c>
      <c r="BX36" s="66">
        <f t="shared" si="2"/>
        <v>11.983733291131104</v>
      </c>
      <c r="BY36" s="67"/>
      <c r="BZ36" s="68">
        <v>35</v>
      </c>
      <c r="CA36" s="74" t="s">
        <v>33</v>
      </c>
      <c r="CB36" s="69">
        <f t="shared" si="6"/>
        <v>0</v>
      </c>
      <c r="CC36" s="69">
        <f t="shared" si="7"/>
        <v>0</v>
      </c>
      <c r="CD36" s="70"/>
      <c r="CE36" s="71"/>
      <c r="CF36" s="71"/>
      <c r="CG36" s="71">
        <v>35</v>
      </c>
      <c r="CH36" s="71" t="str">
        <f t="shared" si="96"/>
        <v/>
      </c>
      <c r="CI36" s="71" t="str">
        <f t="shared" si="96"/>
        <v/>
      </c>
      <c r="CJ36" s="71" t="str">
        <f t="shared" si="96"/>
        <v/>
      </c>
      <c r="CK36" s="71" t="str">
        <f t="shared" si="96"/>
        <v/>
      </c>
      <c r="CL36" s="71" t="str">
        <f t="shared" si="96"/>
        <v/>
      </c>
      <c r="CM36" s="71" t="str">
        <f t="shared" si="96"/>
        <v/>
      </c>
      <c r="CN36" s="71" t="str">
        <f t="shared" si="96"/>
        <v/>
      </c>
      <c r="CO36" s="71" t="str">
        <f t="shared" si="96"/>
        <v/>
      </c>
      <c r="CP36" s="71" t="str">
        <f t="shared" si="96"/>
        <v/>
      </c>
      <c r="CQ36" s="71" t="str">
        <f t="shared" si="96"/>
        <v/>
      </c>
      <c r="CR36" s="71"/>
      <c r="CS36" s="71">
        <v>35</v>
      </c>
      <c r="CT36" s="71" t="str">
        <f t="shared" si="97"/>
        <v/>
      </c>
      <c r="CU36" s="71" t="str">
        <f t="shared" si="97"/>
        <v/>
      </c>
      <c r="CV36" s="71" t="str">
        <f t="shared" si="97"/>
        <v/>
      </c>
      <c r="CW36" s="71" t="str">
        <f t="shared" si="97"/>
        <v/>
      </c>
      <c r="CX36" s="71" t="str">
        <f t="shared" si="97"/>
        <v/>
      </c>
      <c r="CY36" s="71" t="str">
        <f t="shared" si="97"/>
        <v/>
      </c>
      <c r="CZ36" s="71" t="str">
        <f t="shared" si="97"/>
        <v/>
      </c>
      <c r="DA36" s="71" t="str">
        <f t="shared" si="97"/>
        <v/>
      </c>
      <c r="DB36" s="71" t="str">
        <f t="shared" si="97"/>
        <v/>
      </c>
      <c r="DC36" s="72" t="str">
        <f t="shared" si="97"/>
        <v/>
      </c>
    </row>
    <row r="37" spans="1:107" x14ac:dyDescent="0.35">
      <c r="A37" s="52">
        <v>79</v>
      </c>
      <c r="B37" s="52">
        <v>36</v>
      </c>
      <c r="C37" s="52">
        <v>5</v>
      </c>
      <c r="D37" s="52">
        <v>1</v>
      </c>
      <c r="E37" s="80" t="s">
        <v>233</v>
      </c>
      <c r="F37" s="55">
        <v>0.79</v>
      </c>
      <c r="G37" s="53">
        <v>2852</v>
      </c>
      <c r="H37" s="76">
        <f t="shared" si="68"/>
        <v>2253.08</v>
      </c>
      <c r="I37" s="77">
        <v>1041</v>
      </c>
      <c r="J37" s="58">
        <f t="shared" si="69"/>
        <v>822.39</v>
      </c>
      <c r="K37" s="57"/>
      <c r="L37" s="58">
        <f t="shared" si="11"/>
        <v>0</v>
      </c>
      <c r="M37" s="77">
        <v>2150</v>
      </c>
      <c r="N37" s="58">
        <f t="shared" si="70"/>
        <v>1698.5</v>
      </c>
      <c r="O37" s="77">
        <v>2552</v>
      </c>
      <c r="P37" s="58">
        <f t="shared" si="71"/>
        <v>2016.0800000000002</v>
      </c>
      <c r="Q37" s="77">
        <v>2022</v>
      </c>
      <c r="R37" s="58">
        <f t="shared" si="72"/>
        <v>1597.38</v>
      </c>
      <c r="S37" s="77">
        <v>2457</v>
      </c>
      <c r="T37" s="58">
        <f t="shared" si="73"/>
        <v>1941.0300000000002</v>
      </c>
      <c r="U37" s="57">
        <v>1665</v>
      </c>
      <c r="V37" s="58">
        <f t="shared" si="74"/>
        <v>1315.3500000000001</v>
      </c>
      <c r="W37" s="77">
        <v>1896</v>
      </c>
      <c r="X37" s="58">
        <f t="shared" si="75"/>
        <v>1497.8400000000001</v>
      </c>
      <c r="Y37" s="57">
        <v>1878</v>
      </c>
      <c r="Z37" s="58">
        <f t="shared" si="76"/>
        <v>1483.6200000000001</v>
      </c>
      <c r="AA37" s="57">
        <v>2305</v>
      </c>
      <c r="AB37" s="58">
        <f t="shared" si="77"/>
        <v>1820.95</v>
      </c>
      <c r="AC37" s="57">
        <v>2307</v>
      </c>
      <c r="AD37" s="58">
        <f t="shared" si="78"/>
        <v>1822.53</v>
      </c>
      <c r="AE37" s="57">
        <v>1148</v>
      </c>
      <c r="AF37" s="58">
        <f t="shared" si="79"/>
        <v>906.92000000000007</v>
      </c>
      <c r="AG37" s="57">
        <v>1467</v>
      </c>
      <c r="AH37" s="58">
        <f t="shared" si="94"/>
        <v>1158.93</v>
      </c>
      <c r="AI37" s="61">
        <v>1148</v>
      </c>
      <c r="AJ37" s="58">
        <f t="shared" si="95"/>
        <v>906.92000000000007</v>
      </c>
      <c r="AK37" s="73">
        <v>1146</v>
      </c>
      <c r="AL37" s="58">
        <f t="shared" si="80"/>
        <v>905.34</v>
      </c>
      <c r="AM37" s="61">
        <v>1226</v>
      </c>
      <c r="AN37" s="58">
        <f t="shared" si="81"/>
        <v>968.54000000000008</v>
      </c>
      <c r="AO37" s="61">
        <v>1019</v>
      </c>
      <c r="AP37" s="58">
        <f t="shared" si="82"/>
        <v>805.01</v>
      </c>
      <c r="AQ37" s="61">
        <v>1149</v>
      </c>
      <c r="AR37" s="58">
        <f t="shared" si="83"/>
        <v>907.71</v>
      </c>
      <c r="AS37" s="57">
        <v>1024</v>
      </c>
      <c r="AT37" s="58">
        <f t="shared" si="84"/>
        <v>808.96</v>
      </c>
      <c r="AU37" s="57">
        <v>1006</v>
      </c>
      <c r="AV37" s="58">
        <f t="shared" si="85"/>
        <v>794.74</v>
      </c>
      <c r="AW37" s="57">
        <v>919</v>
      </c>
      <c r="AX37" s="58">
        <f t="shared" si="86"/>
        <v>726.01</v>
      </c>
      <c r="AY37" s="57">
        <v>925</v>
      </c>
      <c r="AZ37" s="58">
        <f t="shared" si="87"/>
        <v>730.75</v>
      </c>
      <c r="BA37" s="57">
        <v>1029</v>
      </c>
      <c r="BB37" s="58">
        <f t="shared" si="88"/>
        <v>812.91000000000008</v>
      </c>
      <c r="BC37" s="57">
        <v>1452</v>
      </c>
      <c r="BD37" s="58">
        <f t="shared" si="89"/>
        <v>1147.0800000000002</v>
      </c>
      <c r="BE37" s="57">
        <v>1277</v>
      </c>
      <c r="BF37" s="58">
        <f t="shared" si="90"/>
        <v>1008.83</v>
      </c>
      <c r="BG37" s="57">
        <v>1789</v>
      </c>
      <c r="BH37" s="58">
        <f t="shared" si="91"/>
        <v>1413.3100000000002</v>
      </c>
      <c r="BI37" s="57">
        <v>1589</v>
      </c>
      <c r="BJ37" s="58">
        <f t="shared" si="92"/>
        <v>1255.31</v>
      </c>
      <c r="BK37" s="62">
        <f t="shared" si="93"/>
        <v>1041</v>
      </c>
      <c r="BL37" s="63">
        <f t="shared" si="93"/>
        <v>822.39</v>
      </c>
      <c r="BO37" s="64">
        <v>56</v>
      </c>
      <c r="BP37" s="64">
        <v>1</v>
      </c>
      <c r="BQ37" s="64">
        <v>56.01</v>
      </c>
      <c r="BR37" s="34" t="s">
        <v>179</v>
      </c>
      <c r="BS37" s="65" t="s">
        <v>233</v>
      </c>
      <c r="BT37" s="65" t="s">
        <v>473</v>
      </c>
      <c r="BU37" s="37" t="s">
        <v>175</v>
      </c>
      <c r="BV37" s="66">
        <f t="shared" si="5"/>
        <v>256895.60913333332</v>
      </c>
      <c r="BW37" s="66">
        <f t="shared" si="1"/>
        <v>42720.3197613007</v>
      </c>
      <c r="BX37" s="66">
        <f t="shared" si="2"/>
        <v>16.629447231668372</v>
      </c>
      <c r="BY37" s="67"/>
      <c r="BZ37" s="68">
        <v>36</v>
      </c>
      <c r="CA37" s="74" t="s">
        <v>34</v>
      </c>
      <c r="CB37" s="69">
        <f t="shared" si="6"/>
        <v>0</v>
      </c>
      <c r="CC37" s="69">
        <f t="shared" si="7"/>
        <v>0</v>
      </c>
      <c r="CD37" s="70"/>
      <c r="CE37" s="71"/>
      <c r="CF37" s="71"/>
      <c r="CG37" s="71">
        <v>36</v>
      </c>
      <c r="CH37" s="71" t="str">
        <f t="shared" si="96"/>
        <v/>
      </c>
      <c r="CI37" s="71" t="str">
        <f t="shared" si="96"/>
        <v/>
      </c>
      <c r="CJ37" s="71" t="str">
        <f t="shared" si="96"/>
        <v/>
      </c>
      <c r="CK37" s="71" t="str">
        <f t="shared" si="96"/>
        <v/>
      </c>
      <c r="CL37" s="71" t="str">
        <f t="shared" si="96"/>
        <v/>
      </c>
      <c r="CM37" s="71" t="str">
        <f t="shared" si="96"/>
        <v/>
      </c>
      <c r="CN37" s="71" t="str">
        <f t="shared" si="96"/>
        <v/>
      </c>
      <c r="CO37" s="71" t="str">
        <f t="shared" si="96"/>
        <v/>
      </c>
      <c r="CP37" s="71" t="str">
        <f t="shared" si="96"/>
        <v/>
      </c>
      <c r="CQ37" s="71" t="str">
        <f t="shared" si="96"/>
        <v/>
      </c>
      <c r="CR37" s="71"/>
      <c r="CS37" s="71">
        <v>36</v>
      </c>
      <c r="CT37" s="71" t="str">
        <f t="shared" si="97"/>
        <v/>
      </c>
      <c r="CU37" s="71" t="str">
        <f t="shared" si="97"/>
        <v/>
      </c>
      <c r="CV37" s="71" t="str">
        <f t="shared" si="97"/>
        <v/>
      </c>
      <c r="CW37" s="71" t="str">
        <f t="shared" si="97"/>
        <v/>
      </c>
      <c r="CX37" s="71" t="str">
        <f t="shared" si="97"/>
        <v/>
      </c>
      <c r="CY37" s="71" t="str">
        <f t="shared" si="97"/>
        <v/>
      </c>
      <c r="CZ37" s="71" t="str">
        <f t="shared" si="97"/>
        <v/>
      </c>
      <c r="DA37" s="71" t="str">
        <f t="shared" si="97"/>
        <v/>
      </c>
      <c r="DB37" s="71" t="str">
        <f t="shared" si="97"/>
        <v/>
      </c>
      <c r="DC37" s="72" t="str">
        <f t="shared" si="97"/>
        <v/>
      </c>
    </row>
    <row r="38" spans="1:107" x14ac:dyDescent="0.35">
      <c r="A38" s="52">
        <v>81</v>
      </c>
      <c r="B38" s="52">
        <v>37</v>
      </c>
      <c r="C38" s="52">
        <v>5</v>
      </c>
      <c r="D38" s="52">
        <v>1</v>
      </c>
      <c r="E38" s="80" t="s">
        <v>234</v>
      </c>
      <c r="F38" s="55">
        <v>0.79</v>
      </c>
      <c r="G38" s="53">
        <v>238</v>
      </c>
      <c r="H38" s="76">
        <f t="shared" si="68"/>
        <v>188.02</v>
      </c>
      <c r="I38" s="77">
        <v>87</v>
      </c>
      <c r="J38" s="58">
        <f t="shared" si="69"/>
        <v>68.73</v>
      </c>
      <c r="K38" s="57"/>
      <c r="L38" s="58">
        <f t="shared" si="11"/>
        <v>0</v>
      </c>
      <c r="M38" s="77">
        <v>95</v>
      </c>
      <c r="N38" s="58">
        <f t="shared" si="70"/>
        <v>75.05</v>
      </c>
      <c r="O38" s="77">
        <v>125</v>
      </c>
      <c r="P38" s="58">
        <f t="shared" si="71"/>
        <v>98.75</v>
      </c>
      <c r="Q38" s="77">
        <v>106</v>
      </c>
      <c r="R38" s="58">
        <f t="shared" si="72"/>
        <v>83.740000000000009</v>
      </c>
      <c r="S38" s="77">
        <v>86</v>
      </c>
      <c r="T38" s="58">
        <f t="shared" si="73"/>
        <v>67.94</v>
      </c>
      <c r="U38" s="57">
        <v>97</v>
      </c>
      <c r="V38" s="58">
        <f t="shared" si="74"/>
        <v>76.63000000000001</v>
      </c>
      <c r="W38" s="77">
        <v>108</v>
      </c>
      <c r="X38" s="58">
        <f t="shared" si="75"/>
        <v>85.320000000000007</v>
      </c>
      <c r="Y38" s="57">
        <v>120</v>
      </c>
      <c r="Z38" s="58">
        <f t="shared" si="76"/>
        <v>94.800000000000011</v>
      </c>
      <c r="AA38" s="57">
        <v>140</v>
      </c>
      <c r="AB38" s="58">
        <f t="shared" si="77"/>
        <v>110.60000000000001</v>
      </c>
      <c r="AC38" s="57">
        <v>132</v>
      </c>
      <c r="AD38" s="58">
        <f t="shared" si="78"/>
        <v>104.28</v>
      </c>
      <c r="AE38" s="57">
        <v>151</v>
      </c>
      <c r="AF38" s="58">
        <f t="shared" si="79"/>
        <v>119.29</v>
      </c>
      <c r="AG38" s="57">
        <v>148</v>
      </c>
      <c r="AH38" s="58">
        <f t="shared" si="94"/>
        <v>116.92</v>
      </c>
      <c r="AI38" s="61">
        <v>152</v>
      </c>
      <c r="AJ38" s="58">
        <f t="shared" si="95"/>
        <v>120.08000000000001</v>
      </c>
      <c r="AK38" s="61">
        <v>70</v>
      </c>
      <c r="AL38" s="58">
        <f t="shared" si="80"/>
        <v>55.300000000000004</v>
      </c>
      <c r="AM38" s="61">
        <v>44</v>
      </c>
      <c r="AN38" s="58">
        <f t="shared" si="81"/>
        <v>34.760000000000005</v>
      </c>
      <c r="AO38" s="61">
        <v>38</v>
      </c>
      <c r="AP38" s="58">
        <f t="shared" si="82"/>
        <v>30.020000000000003</v>
      </c>
      <c r="AQ38" s="61">
        <v>41</v>
      </c>
      <c r="AR38" s="58">
        <f t="shared" si="83"/>
        <v>32.39</v>
      </c>
      <c r="AS38" s="57">
        <v>35</v>
      </c>
      <c r="AT38" s="58">
        <f t="shared" si="84"/>
        <v>27.650000000000002</v>
      </c>
      <c r="AU38" s="57">
        <v>25</v>
      </c>
      <c r="AV38" s="58">
        <f t="shared" si="85"/>
        <v>19.75</v>
      </c>
      <c r="AW38" s="57">
        <v>27</v>
      </c>
      <c r="AX38" s="58">
        <f t="shared" si="86"/>
        <v>21.330000000000002</v>
      </c>
      <c r="AY38" s="57">
        <v>28</v>
      </c>
      <c r="AZ38" s="58">
        <f t="shared" si="87"/>
        <v>22.12</v>
      </c>
      <c r="BA38" s="57">
        <v>20</v>
      </c>
      <c r="BB38" s="58">
        <f t="shared" si="88"/>
        <v>15.8</v>
      </c>
      <c r="BC38" s="57">
        <v>24</v>
      </c>
      <c r="BD38" s="58">
        <f t="shared" si="89"/>
        <v>18.96</v>
      </c>
      <c r="BE38" s="57">
        <v>29</v>
      </c>
      <c r="BF38" s="58">
        <f t="shared" si="90"/>
        <v>22.91</v>
      </c>
      <c r="BG38" s="57">
        <v>39</v>
      </c>
      <c r="BH38" s="58">
        <f t="shared" si="91"/>
        <v>30.810000000000002</v>
      </c>
      <c r="BI38" s="57">
        <v>34</v>
      </c>
      <c r="BJ38" s="58">
        <f t="shared" si="92"/>
        <v>26.86</v>
      </c>
      <c r="BK38" s="62">
        <f t="shared" si="93"/>
        <v>87</v>
      </c>
      <c r="BL38" s="63">
        <f t="shared" si="93"/>
        <v>68.73</v>
      </c>
      <c r="BO38" s="64">
        <v>64</v>
      </c>
      <c r="BP38" s="64">
        <v>1</v>
      </c>
      <c r="BQ38" s="64">
        <v>64.010000000000005</v>
      </c>
      <c r="BR38" s="34" t="s">
        <v>179</v>
      </c>
      <c r="BS38" s="65" t="s">
        <v>234</v>
      </c>
      <c r="BT38" s="65" t="s">
        <v>235</v>
      </c>
      <c r="BU38" s="37" t="s">
        <v>175</v>
      </c>
      <c r="BV38" s="66">
        <f t="shared" si="5"/>
        <v>5629.07672</v>
      </c>
      <c r="BW38" s="66">
        <f t="shared" si="1"/>
        <v>827.80539999999996</v>
      </c>
      <c r="BX38" s="66">
        <f t="shared" si="2"/>
        <v>14.705882352941178</v>
      </c>
      <c r="BY38" s="67"/>
      <c r="BZ38" s="68">
        <v>37</v>
      </c>
      <c r="CA38" s="74" t="s">
        <v>35</v>
      </c>
      <c r="CB38" s="69">
        <f t="shared" si="6"/>
        <v>0</v>
      </c>
      <c r="CC38" s="69">
        <f t="shared" si="7"/>
        <v>0</v>
      </c>
      <c r="CD38" s="70"/>
      <c r="CE38" s="71"/>
      <c r="CF38" s="71"/>
      <c r="CG38" s="71">
        <v>37</v>
      </c>
      <c r="CH38" s="71" t="str">
        <f t="shared" si="96"/>
        <v/>
      </c>
      <c r="CI38" s="71" t="str">
        <f t="shared" si="96"/>
        <v/>
      </c>
      <c r="CJ38" s="71" t="str">
        <f t="shared" si="96"/>
        <v/>
      </c>
      <c r="CK38" s="71" t="str">
        <f t="shared" si="96"/>
        <v/>
      </c>
      <c r="CL38" s="71" t="str">
        <f t="shared" si="96"/>
        <v/>
      </c>
      <c r="CM38" s="71" t="str">
        <f t="shared" si="96"/>
        <v/>
      </c>
      <c r="CN38" s="71" t="str">
        <f t="shared" si="96"/>
        <v/>
      </c>
      <c r="CO38" s="71" t="str">
        <f t="shared" si="96"/>
        <v/>
      </c>
      <c r="CP38" s="71" t="str">
        <f t="shared" si="96"/>
        <v/>
      </c>
      <c r="CQ38" s="71" t="str">
        <f t="shared" si="96"/>
        <v/>
      </c>
      <c r="CR38" s="71"/>
      <c r="CS38" s="71">
        <v>37</v>
      </c>
      <c r="CT38" s="71" t="str">
        <f t="shared" si="97"/>
        <v/>
      </c>
      <c r="CU38" s="71" t="str">
        <f t="shared" si="97"/>
        <v/>
      </c>
      <c r="CV38" s="71" t="str">
        <f t="shared" si="97"/>
        <v/>
      </c>
      <c r="CW38" s="71" t="str">
        <f t="shared" si="97"/>
        <v/>
      </c>
      <c r="CX38" s="71" t="str">
        <f t="shared" si="97"/>
        <v/>
      </c>
      <c r="CY38" s="71" t="str">
        <f t="shared" si="97"/>
        <v/>
      </c>
      <c r="CZ38" s="71" t="str">
        <f t="shared" si="97"/>
        <v/>
      </c>
      <c r="DA38" s="71" t="str">
        <f t="shared" si="97"/>
        <v/>
      </c>
      <c r="DB38" s="71" t="str">
        <f t="shared" si="97"/>
        <v/>
      </c>
      <c r="DC38" s="72" t="str">
        <f t="shared" si="97"/>
        <v/>
      </c>
    </row>
    <row r="39" spans="1:107" x14ac:dyDescent="0.35">
      <c r="A39" s="52">
        <v>117</v>
      </c>
      <c r="B39" s="52">
        <v>38</v>
      </c>
      <c r="E39" s="65" t="s">
        <v>236</v>
      </c>
      <c r="F39" s="55">
        <v>0.93</v>
      </c>
      <c r="H39" s="79"/>
      <c r="I39" s="37"/>
      <c r="J39" s="75"/>
      <c r="K39" s="37"/>
      <c r="L39" s="75">
        <f t="shared" si="11"/>
        <v>0</v>
      </c>
      <c r="M39" s="37"/>
      <c r="N39" s="75"/>
      <c r="O39" s="37"/>
      <c r="P39" s="75"/>
      <c r="Q39" s="37"/>
      <c r="R39" s="75"/>
      <c r="S39" s="37"/>
      <c r="T39" s="75"/>
      <c r="U39" s="61"/>
      <c r="V39" s="75"/>
      <c r="W39" s="37"/>
      <c r="X39" s="75"/>
      <c r="Y39" s="61"/>
      <c r="Z39" s="75"/>
      <c r="AA39" s="61"/>
      <c r="AB39" s="75"/>
      <c r="AC39" s="61"/>
      <c r="AD39" s="75"/>
      <c r="AE39" s="61"/>
      <c r="AF39" s="75"/>
      <c r="AG39" s="61"/>
      <c r="AH39" s="75"/>
      <c r="AJ39" s="75"/>
      <c r="AL39" s="75"/>
      <c r="AM39" s="61">
        <v>8</v>
      </c>
      <c r="AN39" s="58">
        <f>PRODUCT($F39*AM39)</f>
        <v>7.44</v>
      </c>
      <c r="AO39" s="61">
        <f>AM39</f>
        <v>8</v>
      </c>
      <c r="AP39" s="58">
        <f>PRODUCT($F39*AO39)</f>
        <v>7.44</v>
      </c>
      <c r="AQ39" s="61">
        <f>AO39</f>
        <v>8</v>
      </c>
      <c r="AR39" s="75"/>
      <c r="AS39" s="61">
        <f>AQ39</f>
        <v>8</v>
      </c>
      <c r="AT39" s="75"/>
      <c r="AU39" s="61">
        <f>AS39</f>
        <v>8</v>
      </c>
      <c r="AV39" s="58">
        <f>PRODUCT($F39*AU39)</f>
        <v>7.44</v>
      </c>
      <c r="AW39" s="61">
        <f>AU39</f>
        <v>8</v>
      </c>
      <c r="AX39" s="58">
        <f>PRODUCT($F39*AW39)</f>
        <v>7.44</v>
      </c>
      <c r="AY39" s="61">
        <f>AW39</f>
        <v>8</v>
      </c>
      <c r="AZ39" s="58">
        <f>PRODUCT($F39*AY39)</f>
        <v>7.44</v>
      </c>
      <c r="BA39" s="61">
        <f>AY39</f>
        <v>8</v>
      </c>
      <c r="BB39" s="58">
        <f>PRODUCT($F39*BA39)</f>
        <v>7.44</v>
      </c>
      <c r="BC39" s="61">
        <f>BA39</f>
        <v>8</v>
      </c>
      <c r="BD39" s="58">
        <f>PRODUCT($F39*BC39)</f>
        <v>7.44</v>
      </c>
      <c r="BE39" s="61">
        <f>BC39</f>
        <v>8</v>
      </c>
      <c r="BF39" s="58">
        <f>PRODUCT($F39*BE39)</f>
        <v>7.44</v>
      </c>
      <c r="BG39" s="61">
        <f>BE39</f>
        <v>8</v>
      </c>
      <c r="BH39" s="58">
        <f>PRODUCT($F39*BG39)</f>
        <v>7.44</v>
      </c>
      <c r="BI39" s="57">
        <f>BG39</f>
        <v>8</v>
      </c>
      <c r="BJ39" s="58">
        <f>PRODUCT($F39*BI39)</f>
        <v>7.44</v>
      </c>
      <c r="BK39" s="80"/>
      <c r="BM39" s="51"/>
      <c r="BN39" s="51"/>
      <c r="BO39" s="64">
        <v>66</v>
      </c>
      <c r="BP39" s="64">
        <v>1</v>
      </c>
      <c r="BQ39" s="64">
        <v>66.010000000000005</v>
      </c>
      <c r="BR39" s="34" t="s">
        <v>179</v>
      </c>
      <c r="BS39" s="93" t="s">
        <v>236</v>
      </c>
      <c r="BT39" s="65" t="s">
        <v>237</v>
      </c>
      <c r="BU39" s="37" t="s">
        <v>175</v>
      </c>
      <c r="BV39" s="66">
        <f t="shared" si="5"/>
        <v>1324.48864</v>
      </c>
      <c r="BW39" s="66">
        <f t="shared" si="1"/>
        <v>0</v>
      </c>
      <c r="BX39" s="66" t="str">
        <f t="shared" si="2"/>
        <v/>
      </c>
      <c r="BY39" s="67"/>
      <c r="BZ39" s="68">
        <v>38</v>
      </c>
      <c r="CA39" s="74" t="s">
        <v>36</v>
      </c>
      <c r="CB39" s="69">
        <f t="shared" si="6"/>
        <v>0</v>
      </c>
      <c r="CC39" s="69">
        <f t="shared" si="7"/>
        <v>0</v>
      </c>
      <c r="CD39" s="70"/>
      <c r="CE39" s="71"/>
      <c r="CF39" s="71"/>
      <c r="CG39" s="71">
        <v>38</v>
      </c>
      <c r="CH39" s="71" t="str">
        <f t="shared" si="96"/>
        <v/>
      </c>
      <c r="CI39" s="71" t="str">
        <f t="shared" si="96"/>
        <v/>
      </c>
      <c r="CJ39" s="71" t="str">
        <f t="shared" si="96"/>
        <v/>
      </c>
      <c r="CK39" s="71" t="str">
        <f t="shared" si="96"/>
        <v/>
      </c>
      <c r="CL39" s="71" t="str">
        <f t="shared" si="96"/>
        <v/>
      </c>
      <c r="CM39" s="71" t="str">
        <f t="shared" si="96"/>
        <v/>
      </c>
      <c r="CN39" s="71" t="str">
        <f t="shared" si="96"/>
        <v/>
      </c>
      <c r="CO39" s="71" t="str">
        <f t="shared" si="96"/>
        <v/>
      </c>
      <c r="CP39" s="71" t="str">
        <f t="shared" si="96"/>
        <v/>
      </c>
      <c r="CQ39" s="71" t="str">
        <f t="shared" si="96"/>
        <v/>
      </c>
      <c r="CR39" s="71"/>
      <c r="CS39" s="71">
        <v>38</v>
      </c>
      <c r="CT39" s="71" t="str">
        <f t="shared" si="97"/>
        <v/>
      </c>
      <c r="CU39" s="71" t="str">
        <f t="shared" si="97"/>
        <v/>
      </c>
      <c r="CV39" s="71" t="str">
        <f t="shared" si="97"/>
        <v/>
      </c>
      <c r="CW39" s="71" t="str">
        <f t="shared" si="97"/>
        <v/>
      </c>
      <c r="CX39" s="71" t="str">
        <f t="shared" si="97"/>
        <v/>
      </c>
      <c r="CY39" s="71" t="str">
        <f t="shared" si="97"/>
        <v/>
      </c>
      <c r="CZ39" s="71" t="str">
        <f t="shared" si="97"/>
        <v/>
      </c>
      <c r="DA39" s="71" t="str">
        <f t="shared" si="97"/>
        <v/>
      </c>
      <c r="DB39" s="71" t="str">
        <f t="shared" si="97"/>
        <v/>
      </c>
      <c r="DC39" s="72" t="str">
        <f t="shared" si="97"/>
        <v/>
      </c>
    </row>
    <row r="40" spans="1:107" x14ac:dyDescent="0.35">
      <c r="A40" s="52">
        <v>85</v>
      </c>
      <c r="B40" s="52">
        <v>39</v>
      </c>
      <c r="C40" s="52">
        <v>6</v>
      </c>
      <c r="D40" s="52">
        <v>1</v>
      </c>
      <c r="E40" s="80" t="s">
        <v>238</v>
      </c>
      <c r="F40" s="55">
        <v>0.93</v>
      </c>
      <c r="G40" s="53">
        <v>80</v>
      </c>
      <c r="H40" s="76">
        <f>(F40*G40)</f>
        <v>74.400000000000006</v>
      </c>
      <c r="I40" s="77">
        <v>29</v>
      </c>
      <c r="J40" s="58">
        <f>PRODUCT(F40,I40)</f>
        <v>26.970000000000002</v>
      </c>
      <c r="K40" s="57"/>
      <c r="L40" s="58">
        <f t="shared" si="11"/>
        <v>0</v>
      </c>
      <c r="M40" s="77">
        <v>29</v>
      </c>
      <c r="N40" s="58">
        <f>PRODUCT(F40*M40)</f>
        <v>26.970000000000002</v>
      </c>
      <c r="O40" s="77">
        <v>36</v>
      </c>
      <c r="P40" s="58">
        <f>PRODUCT(F40*O40)</f>
        <v>33.480000000000004</v>
      </c>
      <c r="Q40" s="77">
        <v>29</v>
      </c>
      <c r="R40" s="58">
        <f>PRODUCT(F40*Q40)</f>
        <v>26.970000000000002</v>
      </c>
      <c r="S40" s="77">
        <v>35</v>
      </c>
      <c r="T40" s="58">
        <f>PRODUCT(F40*S40)</f>
        <v>32.550000000000004</v>
      </c>
      <c r="U40" s="57">
        <v>25</v>
      </c>
      <c r="V40" s="58">
        <f>PRODUCT(U40*F40)</f>
        <v>23.25</v>
      </c>
      <c r="W40" s="77">
        <v>20</v>
      </c>
      <c r="X40" s="58">
        <f>PRODUCT(W40*F40)</f>
        <v>18.600000000000001</v>
      </c>
      <c r="Y40" s="57">
        <v>19</v>
      </c>
      <c r="Z40" s="58">
        <f>PRODUCT(Y40*F40)</f>
        <v>17.670000000000002</v>
      </c>
      <c r="AA40" s="57">
        <v>23</v>
      </c>
      <c r="AB40" s="58">
        <f>PRODUCT(AA40*F40)</f>
        <v>21.39</v>
      </c>
      <c r="AC40" s="57">
        <v>28</v>
      </c>
      <c r="AD40" s="58">
        <f>PRODUCT(AC40*F40)</f>
        <v>26.040000000000003</v>
      </c>
      <c r="AE40" s="57">
        <v>28</v>
      </c>
      <c r="AF40" s="58">
        <f>PRODUCT(F40,AE40)</f>
        <v>26.040000000000003</v>
      </c>
      <c r="AG40" s="57">
        <v>36</v>
      </c>
      <c r="AH40" s="58">
        <f>PRODUCT(F40,AG40)</f>
        <v>33.480000000000004</v>
      </c>
      <c r="AI40" s="61">
        <v>28</v>
      </c>
      <c r="AJ40" s="58">
        <f>PRODUCT(F40,AI40)</f>
        <v>26.040000000000003</v>
      </c>
      <c r="AK40" s="61">
        <v>32</v>
      </c>
      <c r="AL40" s="58">
        <f>PRODUCT(F40,AK40)</f>
        <v>29.76</v>
      </c>
      <c r="AM40" s="61">
        <v>34</v>
      </c>
      <c r="AN40" s="58">
        <f>PRODUCT(F40,AM40)</f>
        <v>31.62</v>
      </c>
      <c r="AO40" s="61">
        <v>38</v>
      </c>
      <c r="AP40" s="58">
        <f>PRODUCT( F40*AO40)</f>
        <v>35.340000000000003</v>
      </c>
      <c r="AQ40" s="61">
        <v>42</v>
      </c>
      <c r="AR40" s="58">
        <f>PRODUCT( F40*AQ40)</f>
        <v>39.06</v>
      </c>
      <c r="AS40" s="57">
        <v>39</v>
      </c>
      <c r="AT40" s="58">
        <f>PRODUCT( F40*AS40)</f>
        <v>36.270000000000003</v>
      </c>
      <c r="AU40" s="57">
        <v>38</v>
      </c>
      <c r="AV40" s="58">
        <f>PRODUCT( F40*AU40)</f>
        <v>35.340000000000003</v>
      </c>
      <c r="AW40" s="57">
        <v>47</v>
      </c>
      <c r="AX40" s="58">
        <f>PRODUCT(F40*AW40)</f>
        <v>43.71</v>
      </c>
      <c r="AY40" s="57">
        <v>43</v>
      </c>
      <c r="AZ40" s="58">
        <f>PRODUCT(F40*AY40)</f>
        <v>39.99</v>
      </c>
      <c r="BA40" s="57">
        <v>43</v>
      </c>
      <c r="BB40" s="58">
        <f>PRODUCT(F40*BA40)</f>
        <v>39.99</v>
      </c>
      <c r="BC40" s="57">
        <v>45</v>
      </c>
      <c r="BD40" s="58">
        <f>PRODUCT(F40*BC40)</f>
        <v>41.85</v>
      </c>
      <c r="BE40" s="57">
        <v>41</v>
      </c>
      <c r="BF40" s="58">
        <f>PRODUCT(F40*BE40)</f>
        <v>38.130000000000003</v>
      </c>
      <c r="BG40" s="57">
        <v>52</v>
      </c>
      <c r="BH40" s="58">
        <f>PRODUCT(F40*BG40)</f>
        <v>48.36</v>
      </c>
      <c r="BI40" s="57">
        <v>44</v>
      </c>
      <c r="BJ40" s="58">
        <f>PRODUCT(F40*BI40)</f>
        <v>40.92</v>
      </c>
      <c r="BK40" s="62">
        <f>I40</f>
        <v>29</v>
      </c>
      <c r="BL40" s="63">
        <f>J40</f>
        <v>26.970000000000002</v>
      </c>
      <c r="BO40" s="64">
        <v>66</v>
      </c>
      <c r="BP40" s="64">
        <v>2</v>
      </c>
      <c r="BQ40" s="64">
        <v>66.02</v>
      </c>
      <c r="BR40" s="65" t="s">
        <v>179</v>
      </c>
      <c r="BS40" s="65" t="s">
        <v>238</v>
      </c>
      <c r="BT40" s="65" t="s">
        <v>239</v>
      </c>
      <c r="BU40" s="37" t="s">
        <v>175</v>
      </c>
      <c r="BV40" s="66">
        <f t="shared" si="5"/>
        <v>7560.6226533333329</v>
      </c>
      <c r="BW40" s="66">
        <f t="shared" si="1"/>
        <v>941.42015194144369</v>
      </c>
      <c r="BX40" s="66">
        <f t="shared" si="2"/>
        <v>12.45162197754162</v>
      </c>
      <c r="BY40" s="67"/>
      <c r="BZ40" s="68">
        <v>39</v>
      </c>
      <c r="CA40" s="74" t="s">
        <v>37</v>
      </c>
      <c r="CB40" s="69">
        <f t="shared" si="6"/>
        <v>0</v>
      </c>
      <c r="CC40" s="69">
        <f t="shared" si="7"/>
        <v>0</v>
      </c>
      <c r="CD40" s="70"/>
      <c r="CE40" s="71"/>
      <c r="CF40" s="71"/>
      <c r="CG40" s="71">
        <v>39</v>
      </c>
      <c r="CH40" s="71" t="str">
        <f t="shared" si="96"/>
        <v/>
      </c>
      <c r="CI40" s="71" t="str">
        <f t="shared" si="96"/>
        <v/>
      </c>
      <c r="CJ40" s="71" t="str">
        <f t="shared" si="96"/>
        <v/>
      </c>
      <c r="CK40" s="71" t="str">
        <f t="shared" si="96"/>
        <v/>
      </c>
      <c r="CL40" s="71" t="str">
        <f t="shared" si="96"/>
        <v/>
      </c>
      <c r="CM40" s="71" t="str">
        <f t="shared" si="96"/>
        <v/>
      </c>
      <c r="CN40" s="71" t="str">
        <f t="shared" si="96"/>
        <v/>
      </c>
      <c r="CO40" s="71" t="str">
        <f t="shared" si="96"/>
        <v/>
      </c>
      <c r="CP40" s="71" t="str">
        <f t="shared" si="96"/>
        <v/>
      </c>
      <c r="CQ40" s="71" t="str">
        <f t="shared" si="96"/>
        <v/>
      </c>
      <c r="CR40" s="71"/>
      <c r="CS40" s="71">
        <v>39</v>
      </c>
      <c r="CT40" s="71" t="str">
        <f t="shared" si="97"/>
        <v/>
      </c>
      <c r="CU40" s="71" t="str">
        <f t="shared" si="97"/>
        <v/>
      </c>
      <c r="CV40" s="71" t="str">
        <f t="shared" si="97"/>
        <v/>
      </c>
      <c r="CW40" s="71" t="str">
        <f t="shared" si="97"/>
        <v/>
      </c>
      <c r="CX40" s="71" t="str">
        <f t="shared" si="97"/>
        <v/>
      </c>
      <c r="CY40" s="71" t="str">
        <f t="shared" si="97"/>
        <v/>
      </c>
      <c r="CZ40" s="71" t="str">
        <f t="shared" si="97"/>
        <v/>
      </c>
      <c r="DA40" s="71" t="str">
        <f t="shared" si="97"/>
        <v/>
      </c>
      <c r="DB40" s="71" t="str">
        <f t="shared" si="97"/>
        <v/>
      </c>
      <c r="DC40" s="72" t="str">
        <f t="shared" si="97"/>
        <v/>
      </c>
    </row>
    <row r="41" spans="1:107" s="94" customFormat="1" x14ac:dyDescent="0.35">
      <c r="A41" s="52">
        <v>84</v>
      </c>
      <c r="B41" s="52">
        <v>40</v>
      </c>
      <c r="C41" s="52">
        <v>6</v>
      </c>
      <c r="D41" s="52">
        <v>1</v>
      </c>
      <c r="E41" s="80" t="s">
        <v>240</v>
      </c>
      <c r="F41" s="55">
        <v>0.93</v>
      </c>
      <c r="G41" s="53">
        <v>1967</v>
      </c>
      <c r="H41" s="76">
        <f>(F41*G41)</f>
        <v>1829.3100000000002</v>
      </c>
      <c r="I41" s="77">
        <v>718</v>
      </c>
      <c r="J41" s="58">
        <f>PRODUCT(F41,I41)</f>
        <v>667.74</v>
      </c>
      <c r="K41" s="57"/>
      <c r="L41" s="58">
        <f t="shared" si="11"/>
        <v>0</v>
      </c>
      <c r="M41" s="77">
        <v>715</v>
      </c>
      <c r="N41" s="58">
        <f>PRODUCT(F41*M41)</f>
        <v>664.95</v>
      </c>
      <c r="O41" s="77">
        <v>954</v>
      </c>
      <c r="P41" s="58">
        <f>PRODUCT(F41*O41)</f>
        <v>887.22</v>
      </c>
      <c r="Q41" s="77">
        <v>828</v>
      </c>
      <c r="R41" s="58">
        <f>PRODUCT(F41*Q41)</f>
        <v>770.04000000000008</v>
      </c>
      <c r="S41" s="77">
        <v>1203</v>
      </c>
      <c r="T41" s="58">
        <f>PRODUCT(F41*S41)</f>
        <v>1118.79</v>
      </c>
      <c r="U41" s="57">
        <v>1166</v>
      </c>
      <c r="V41" s="58">
        <f>PRODUCT(U41*F41)</f>
        <v>1084.3800000000001</v>
      </c>
      <c r="W41" s="77">
        <v>993</v>
      </c>
      <c r="X41" s="58">
        <f>PRODUCT(W41*F41)</f>
        <v>923.49</v>
      </c>
      <c r="Y41" s="57">
        <v>772</v>
      </c>
      <c r="Z41" s="58">
        <f>PRODUCT(Y41*F41)</f>
        <v>717.96</v>
      </c>
      <c r="AA41" s="57">
        <v>605</v>
      </c>
      <c r="AB41" s="58">
        <f>PRODUCT(AA41*F41)</f>
        <v>562.65</v>
      </c>
      <c r="AC41" s="57">
        <v>897</v>
      </c>
      <c r="AD41" s="58">
        <f>PRODUCT(AC41*F41)</f>
        <v>834.21</v>
      </c>
      <c r="AE41" s="57">
        <v>786</v>
      </c>
      <c r="AF41" s="58">
        <f>PRODUCT(F41,AE41)</f>
        <v>730.98</v>
      </c>
      <c r="AG41" s="57">
        <v>810</v>
      </c>
      <c r="AH41" s="58">
        <f>PRODUCT(F41,AG41)</f>
        <v>753.30000000000007</v>
      </c>
      <c r="AI41" s="61">
        <v>758</v>
      </c>
      <c r="AJ41" s="58">
        <f>PRODUCT(F41,AI41)</f>
        <v>704.94</v>
      </c>
      <c r="AK41" s="73">
        <v>1043</v>
      </c>
      <c r="AL41" s="58">
        <f>PRODUCT(F41,AK41)</f>
        <v>969.99</v>
      </c>
      <c r="AM41" s="61">
        <v>766</v>
      </c>
      <c r="AN41" s="58">
        <f>PRODUCT(F41,AM41)</f>
        <v>712.38</v>
      </c>
      <c r="AO41" s="61">
        <v>881</v>
      </c>
      <c r="AP41" s="58">
        <f>PRODUCT( F41*AO41)</f>
        <v>819.33</v>
      </c>
      <c r="AQ41" s="61">
        <v>602</v>
      </c>
      <c r="AR41" s="58">
        <f>PRODUCT( F41*AQ41)</f>
        <v>559.86</v>
      </c>
      <c r="AS41" s="57">
        <v>742</v>
      </c>
      <c r="AT41" s="58">
        <f>PRODUCT( F41*AS41)</f>
        <v>690.06000000000006</v>
      </c>
      <c r="AU41" s="57">
        <v>640</v>
      </c>
      <c r="AV41" s="58">
        <f>PRODUCT( F41*AU41)</f>
        <v>595.20000000000005</v>
      </c>
      <c r="AW41" s="57">
        <v>702</v>
      </c>
      <c r="AX41" s="58">
        <f>PRODUCT(F41*AW41)</f>
        <v>652.86</v>
      </c>
      <c r="AY41" s="57">
        <v>738</v>
      </c>
      <c r="AZ41" s="58">
        <f>PRODUCT(F41*AY41)</f>
        <v>686.34</v>
      </c>
      <c r="BA41" s="57">
        <v>583</v>
      </c>
      <c r="BB41" s="58">
        <f>PRODUCT(F41*BA41)</f>
        <v>542.19000000000005</v>
      </c>
      <c r="BC41" s="57">
        <v>625</v>
      </c>
      <c r="BD41" s="58">
        <f>PRODUCT(F41*BC41)</f>
        <v>581.25</v>
      </c>
      <c r="BE41" s="57">
        <v>551</v>
      </c>
      <c r="BF41" s="58">
        <f>PRODUCT(F41*BE41)</f>
        <v>512.43000000000006</v>
      </c>
      <c r="BG41" s="57">
        <v>752</v>
      </c>
      <c r="BH41" s="58">
        <f>PRODUCT(F41*BG41)</f>
        <v>699.36</v>
      </c>
      <c r="BI41" s="57">
        <v>567</v>
      </c>
      <c r="BJ41" s="58">
        <f>PRODUCT(F41*BI41)</f>
        <v>527.31000000000006</v>
      </c>
      <c r="BK41" s="62">
        <f>I41</f>
        <v>718</v>
      </c>
      <c r="BL41" s="63">
        <f>J41</f>
        <v>667.74</v>
      </c>
      <c r="BM41" s="69"/>
      <c r="BN41" s="69"/>
      <c r="BO41" s="64">
        <v>66</v>
      </c>
      <c r="BP41" s="64">
        <v>3</v>
      </c>
      <c r="BQ41" s="64">
        <v>66.03</v>
      </c>
      <c r="BR41" s="34" t="s">
        <v>179</v>
      </c>
      <c r="BS41" s="65" t="s">
        <v>240</v>
      </c>
      <c r="BT41" s="65" t="s">
        <v>237</v>
      </c>
      <c r="BU41" s="37" t="s">
        <v>175</v>
      </c>
      <c r="BV41" s="66">
        <f t="shared" si="5"/>
        <v>103199.73986666667</v>
      </c>
      <c r="BW41" s="66">
        <f t="shared" si="1"/>
        <v>18495.724304122363</v>
      </c>
      <c r="BX41" s="66">
        <f t="shared" si="2"/>
        <v>17.922258649119374</v>
      </c>
      <c r="BY41" s="67"/>
      <c r="BZ41" s="68">
        <v>40</v>
      </c>
      <c r="CA41" s="74" t="s">
        <v>38</v>
      </c>
      <c r="CB41" s="69">
        <f t="shared" si="6"/>
        <v>0</v>
      </c>
      <c r="CC41" s="69">
        <f t="shared" si="7"/>
        <v>0</v>
      </c>
      <c r="CD41" s="70"/>
      <c r="CE41" s="71"/>
      <c r="CF41" s="71"/>
      <c r="CG41" s="71">
        <v>40</v>
      </c>
      <c r="CH41" s="71" t="str">
        <f t="shared" si="96"/>
        <v/>
      </c>
      <c r="CI41" s="71" t="str">
        <f t="shared" si="96"/>
        <v/>
      </c>
      <c r="CJ41" s="71" t="str">
        <f t="shared" si="96"/>
        <v/>
      </c>
      <c r="CK41" s="71" t="str">
        <f t="shared" si="96"/>
        <v/>
      </c>
      <c r="CL41" s="71" t="str">
        <f t="shared" si="96"/>
        <v/>
      </c>
      <c r="CM41" s="71" t="str">
        <f t="shared" si="96"/>
        <v/>
      </c>
      <c r="CN41" s="71" t="str">
        <f t="shared" si="96"/>
        <v/>
      </c>
      <c r="CO41" s="71" t="str">
        <f t="shared" si="96"/>
        <v/>
      </c>
      <c r="CP41" s="71" t="str">
        <f t="shared" si="96"/>
        <v/>
      </c>
      <c r="CQ41" s="71" t="str">
        <f t="shared" si="96"/>
        <v/>
      </c>
      <c r="CR41" s="71"/>
      <c r="CS41" s="71">
        <v>40</v>
      </c>
      <c r="CT41" s="71" t="str">
        <f t="shared" si="97"/>
        <v/>
      </c>
      <c r="CU41" s="71" t="str">
        <f t="shared" si="97"/>
        <v/>
      </c>
      <c r="CV41" s="71" t="str">
        <f t="shared" si="97"/>
        <v/>
      </c>
      <c r="CW41" s="71" t="str">
        <f t="shared" si="97"/>
        <v/>
      </c>
      <c r="CX41" s="71" t="str">
        <f t="shared" si="97"/>
        <v/>
      </c>
      <c r="CY41" s="71" t="str">
        <f t="shared" si="97"/>
        <v/>
      </c>
      <c r="CZ41" s="71" t="str">
        <f t="shared" si="97"/>
        <v/>
      </c>
      <c r="DA41" s="71" t="str">
        <f t="shared" si="97"/>
        <v/>
      </c>
      <c r="DB41" s="71" t="str">
        <f t="shared" si="97"/>
        <v/>
      </c>
      <c r="DC41" s="72" t="str">
        <f t="shared" si="97"/>
        <v/>
      </c>
    </row>
    <row r="42" spans="1:107" x14ac:dyDescent="0.35">
      <c r="A42" s="52">
        <v>118</v>
      </c>
      <c r="B42" s="52">
        <v>41</v>
      </c>
      <c r="E42" s="65" t="s">
        <v>241</v>
      </c>
      <c r="F42" s="55">
        <v>0.93</v>
      </c>
      <c r="H42" s="79"/>
      <c r="I42" s="37"/>
      <c r="J42" s="75"/>
      <c r="K42" s="37"/>
      <c r="L42" s="75">
        <f t="shared" si="11"/>
        <v>0</v>
      </c>
      <c r="M42" s="37"/>
      <c r="N42" s="75"/>
      <c r="O42" s="37"/>
      <c r="P42" s="75"/>
      <c r="Q42" s="37"/>
      <c r="R42" s="75"/>
      <c r="S42" s="37"/>
      <c r="T42" s="75"/>
      <c r="U42" s="61"/>
      <c r="V42" s="75"/>
      <c r="W42" s="37"/>
      <c r="X42" s="75"/>
      <c r="Y42" s="61"/>
      <c r="Z42" s="75"/>
      <c r="AA42" s="61"/>
      <c r="AB42" s="75"/>
      <c r="AC42" s="61"/>
      <c r="AD42" s="75"/>
      <c r="AE42" s="61"/>
      <c r="AF42" s="75"/>
      <c r="AG42" s="61"/>
      <c r="AH42" s="75"/>
      <c r="AJ42" s="75"/>
      <c r="AL42" s="75"/>
      <c r="AM42" s="61">
        <v>10</v>
      </c>
      <c r="AN42" s="58">
        <f>PRODUCT($F42*AM42)</f>
        <v>9.3000000000000007</v>
      </c>
      <c r="AO42" s="61">
        <f>AM42</f>
        <v>10</v>
      </c>
      <c r="AP42" s="58">
        <f>PRODUCT($F42*AO42)</f>
        <v>9.3000000000000007</v>
      </c>
      <c r="AQ42" s="61">
        <f>AO42</f>
        <v>10</v>
      </c>
      <c r="AR42" s="75"/>
      <c r="AS42" s="61">
        <f>AQ42</f>
        <v>10</v>
      </c>
      <c r="AT42" s="75"/>
      <c r="AU42" s="61">
        <f>AS42</f>
        <v>10</v>
      </c>
      <c r="AV42" s="58">
        <f>PRODUCT($F42*AU42)</f>
        <v>9.3000000000000007</v>
      </c>
      <c r="AW42" s="61">
        <f>AU42</f>
        <v>10</v>
      </c>
      <c r="AX42" s="58">
        <f>PRODUCT($F42*AW42)</f>
        <v>9.3000000000000007</v>
      </c>
      <c r="AY42" s="61">
        <f>AW42</f>
        <v>10</v>
      </c>
      <c r="AZ42" s="58">
        <f>PRODUCT($F42*AY42)</f>
        <v>9.3000000000000007</v>
      </c>
      <c r="BA42" s="61">
        <f>AY42</f>
        <v>10</v>
      </c>
      <c r="BB42" s="58">
        <f>PRODUCT($F42*BA42)</f>
        <v>9.3000000000000007</v>
      </c>
      <c r="BC42" s="61">
        <f>BA42</f>
        <v>10</v>
      </c>
      <c r="BD42" s="58">
        <f>PRODUCT($F42*BC42)</f>
        <v>9.3000000000000007</v>
      </c>
      <c r="BE42" s="61">
        <f>BC42</f>
        <v>10</v>
      </c>
      <c r="BF42" s="58">
        <f>PRODUCT($F42*BE42)</f>
        <v>9.3000000000000007</v>
      </c>
      <c r="BG42" s="61">
        <f>BE42</f>
        <v>10</v>
      </c>
      <c r="BH42" s="58">
        <f>PRODUCT($F42*BG42)</f>
        <v>9.3000000000000007</v>
      </c>
      <c r="BI42" s="57">
        <f>BG42</f>
        <v>10</v>
      </c>
      <c r="BJ42" s="58">
        <f>PRODUCT($F42*BI42)</f>
        <v>9.3000000000000007</v>
      </c>
      <c r="BK42" s="80"/>
      <c r="BM42" s="51"/>
      <c r="BN42" s="51"/>
      <c r="BO42" s="64">
        <v>66</v>
      </c>
      <c r="BP42" s="64">
        <v>4</v>
      </c>
      <c r="BQ42" s="64">
        <v>66.040000000000006</v>
      </c>
      <c r="BR42" s="34" t="s">
        <v>179</v>
      </c>
      <c r="BS42" s="93" t="s">
        <v>241</v>
      </c>
      <c r="BT42" s="65" t="s">
        <v>242</v>
      </c>
      <c r="BU42" s="37" t="s">
        <v>175</v>
      </c>
      <c r="BV42" s="66">
        <f t="shared" si="5"/>
        <v>1655.6107999999999</v>
      </c>
      <c r="BW42" s="66">
        <f t="shared" si="1"/>
        <v>0</v>
      </c>
      <c r="BX42" s="66" t="str">
        <f t="shared" si="2"/>
        <v/>
      </c>
      <c r="BY42" s="67"/>
      <c r="BZ42" s="68">
        <v>41</v>
      </c>
      <c r="CA42" s="74" t="s">
        <v>39</v>
      </c>
      <c r="CB42" s="69">
        <f t="shared" si="6"/>
        <v>0</v>
      </c>
      <c r="CC42" s="69">
        <f t="shared" si="7"/>
        <v>0</v>
      </c>
      <c r="CD42" s="70"/>
      <c r="CE42" s="71"/>
      <c r="CF42" s="71"/>
      <c r="CG42" s="71">
        <v>41</v>
      </c>
      <c r="CH42" s="71" t="str">
        <f t="shared" si="96"/>
        <v/>
      </c>
      <c r="CI42" s="71" t="str">
        <f t="shared" si="96"/>
        <v/>
      </c>
      <c r="CJ42" s="71" t="str">
        <f t="shared" si="96"/>
        <v/>
      </c>
      <c r="CK42" s="71" t="str">
        <f t="shared" si="96"/>
        <v/>
      </c>
      <c r="CL42" s="71" t="str">
        <f t="shared" si="96"/>
        <v/>
      </c>
      <c r="CM42" s="71" t="str">
        <f t="shared" si="96"/>
        <v/>
      </c>
      <c r="CN42" s="71" t="str">
        <f t="shared" si="96"/>
        <v/>
      </c>
      <c r="CO42" s="71" t="str">
        <f t="shared" si="96"/>
        <v/>
      </c>
      <c r="CP42" s="71" t="str">
        <f t="shared" si="96"/>
        <v/>
      </c>
      <c r="CQ42" s="71" t="str">
        <f t="shared" si="96"/>
        <v/>
      </c>
      <c r="CR42" s="71"/>
      <c r="CS42" s="71">
        <v>41</v>
      </c>
      <c r="CT42" s="71" t="str">
        <f t="shared" si="97"/>
        <v/>
      </c>
      <c r="CU42" s="71" t="str">
        <f t="shared" si="97"/>
        <v/>
      </c>
      <c r="CV42" s="71" t="str">
        <f t="shared" si="97"/>
        <v/>
      </c>
      <c r="CW42" s="71" t="str">
        <f t="shared" si="97"/>
        <v/>
      </c>
      <c r="CX42" s="71" t="str">
        <f t="shared" si="97"/>
        <v/>
      </c>
      <c r="CY42" s="71" t="str">
        <f t="shared" si="97"/>
        <v/>
      </c>
      <c r="CZ42" s="71" t="str">
        <f t="shared" si="97"/>
        <v/>
      </c>
      <c r="DA42" s="71" t="str">
        <f t="shared" si="97"/>
        <v/>
      </c>
      <c r="DB42" s="71" t="str">
        <f t="shared" si="97"/>
        <v/>
      </c>
      <c r="DC42" s="72" t="str">
        <f t="shared" si="97"/>
        <v/>
      </c>
    </row>
    <row r="43" spans="1:107" x14ac:dyDescent="0.35">
      <c r="A43" s="52">
        <v>119</v>
      </c>
      <c r="B43" s="52">
        <v>42</v>
      </c>
      <c r="E43" s="65" t="s">
        <v>243</v>
      </c>
      <c r="F43" s="55">
        <v>0.93</v>
      </c>
      <c r="H43" s="79"/>
      <c r="I43" s="37"/>
      <c r="J43" s="75"/>
      <c r="K43" s="37"/>
      <c r="L43" s="75">
        <f t="shared" si="11"/>
        <v>0</v>
      </c>
      <c r="M43" s="37"/>
      <c r="N43" s="75"/>
      <c r="O43" s="37"/>
      <c r="P43" s="75"/>
      <c r="Q43" s="37"/>
      <c r="R43" s="75"/>
      <c r="S43" s="37"/>
      <c r="T43" s="75"/>
      <c r="U43" s="61"/>
      <c r="V43" s="75"/>
      <c r="W43" s="37"/>
      <c r="X43" s="75"/>
      <c r="Y43" s="61"/>
      <c r="Z43" s="75"/>
      <c r="AA43" s="61"/>
      <c r="AB43" s="75"/>
      <c r="AC43" s="61"/>
      <c r="AD43" s="75"/>
      <c r="AE43" s="61"/>
      <c r="AF43" s="75"/>
      <c r="AG43" s="61"/>
      <c r="AH43" s="75"/>
      <c r="AJ43" s="75"/>
      <c r="AL43" s="75"/>
      <c r="AM43" s="61">
        <v>10</v>
      </c>
      <c r="AN43" s="58">
        <f>PRODUCT($F43*AM43)</f>
        <v>9.3000000000000007</v>
      </c>
      <c r="AO43" s="61">
        <f>AM43</f>
        <v>10</v>
      </c>
      <c r="AP43" s="58">
        <f>PRODUCT($F43*AO43)</f>
        <v>9.3000000000000007</v>
      </c>
      <c r="AQ43" s="61">
        <f>AO43</f>
        <v>10</v>
      </c>
      <c r="AR43" s="75"/>
      <c r="AS43" s="61">
        <f>AQ43</f>
        <v>10</v>
      </c>
      <c r="AT43" s="75"/>
      <c r="AU43" s="61">
        <f>AS43</f>
        <v>10</v>
      </c>
      <c r="AV43" s="58">
        <f>PRODUCT($F43*AU43)</f>
        <v>9.3000000000000007</v>
      </c>
      <c r="AW43" s="61">
        <f>AU43</f>
        <v>10</v>
      </c>
      <c r="AX43" s="58">
        <f>PRODUCT($F43*AW43)</f>
        <v>9.3000000000000007</v>
      </c>
      <c r="AY43" s="61">
        <f>AW43</f>
        <v>10</v>
      </c>
      <c r="AZ43" s="58">
        <f>PRODUCT($F43*AY43)</f>
        <v>9.3000000000000007</v>
      </c>
      <c r="BA43" s="61">
        <f>AY43</f>
        <v>10</v>
      </c>
      <c r="BB43" s="58">
        <f>PRODUCT($F43*BA43)</f>
        <v>9.3000000000000007</v>
      </c>
      <c r="BC43" s="61">
        <f>BA43</f>
        <v>10</v>
      </c>
      <c r="BD43" s="58">
        <f>PRODUCT($F43*BC43)</f>
        <v>9.3000000000000007</v>
      </c>
      <c r="BE43" s="61">
        <f>BC43</f>
        <v>10</v>
      </c>
      <c r="BF43" s="58">
        <f>PRODUCT($F43*BE43)</f>
        <v>9.3000000000000007</v>
      </c>
      <c r="BG43" s="61">
        <f>BE43</f>
        <v>10</v>
      </c>
      <c r="BH43" s="58">
        <f>PRODUCT($F43*BG43)</f>
        <v>9.3000000000000007</v>
      </c>
      <c r="BI43" s="57">
        <f>BG43</f>
        <v>10</v>
      </c>
      <c r="BJ43" s="58">
        <f>PRODUCT($F43*BI43)</f>
        <v>9.3000000000000007</v>
      </c>
      <c r="BK43" s="80"/>
      <c r="BM43" s="51"/>
      <c r="BN43" s="51"/>
      <c r="BO43" s="64">
        <v>66</v>
      </c>
      <c r="BP43" s="64">
        <v>5</v>
      </c>
      <c r="BQ43" s="64">
        <v>66.05</v>
      </c>
      <c r="BR43" s="34" t="s">
        <v>179</v>
      </c>
      <c r="BS43" s="65" t="s">
        <v>243</v>
      </c>
      <c r="BT43" s="65" t="s">
        <v>242</v>
      </c>
      <c r="BU43" s="37" t="s">
        <v>175</v>
      </c>
      <c r="BV43" s="66">
        <f t="shared" si="5"/>
        <v>1655.6107999999999</v>
      </c>
      <c r="BW43" s="66">
        <f t="shared" si="1"/>
        <v>0</v>
      </c>
      <c r="BX43" s="66" t="str">
        <f t="shared" si="2"/>
        <v/>
      </c>
      <c r="BY43" s="67"/>
      <c r="BZ43" s="68">
        <v>42</v>
      </c>
      <c r="CA43" s="74" t="s">
        <v>40</v>
      </c>
      <c r="CB43" s="69">
        <f t="shared" si="6"/>
        <v>0</v>
      </c>
      <c r="CC43" s="69">
        <f t="shared" si="7"/>
        <v>0</v>
      </c>
      <c r="CD43" s="70"/>
      <c r="CE43" s="71"/>
      <c r="CF43" s="71"/>
      <c r="CG43" s="71">
        <v>42</v>
      </c>
      <c r="CH43" s="71" t="str">
        <f t="shared" si="96"/>
        <v/>
      </c>
      <c r="CI43" s="71" t="str">
        <f t="shared" si="96"/>
        <v/>
      </c>
      <c r="CJ43" s="71" t="str">
        <f t="shared" si="96"/>
        <v/>
      </c>
      <c r="CK43" s="71" t="str">
        <f t="shared" si="96"/>
        <v/>
      </c>
      <c r="CL43" s="71" t="str">
        <f t="shared" si="96"/>
        <v/>
      </c>
      <c r="CM43" s="71" t="str">
        <f t="shared" si="96"/>
        <v/>
      </c>
      <c r="CN43" s="71" t="str">
        <f t="shared" si="96"/>
        <v/>
      </c>
      <c r="CO43" s="71" t="str">
        <f t="shared" si="96"/>
        <v/>
      </c>
      <c r="CP43" s="71" t="str">
        <f t="shared" si="96"/>
        <v/>
      </c>
      <c r="CQ43" s="71" t="str">
        <f t="shared" si="96"/>
        <v/>
      </c>
      <c r="CR43" s="71"/>
      <c r="CS43" s="71">
        <v>42</v>
      </c>
      <c r="CT43" s="71" t="str">
        <f t="shared" si="97"/>
        <v/>
      </c>
      <c r="CU43" s="71" t="str">
        <f t="shared" si="97"/>
        <v/>
      </c>
      <c r="CV43" s="71" t="str">
        <f t="shared" si="97"/>
        <v/>
      </c>
      <c r="CW43" s="71" t="str">
        <f t="shared" si="97"/>
        <v/>
      </c>
      <c r="CX43" s="71" t="str">
        <f t="shared" si="97"/>
        <v/>
      </c>
      <c r="CY43" s="71" t="str">
        <f t="shared" si="97"/>
        <v/>
      </c>
      <c r="CZ43" s="71" t="str">
        <f t="shared" si="97"/>
        <v/>
      </c>
      <c r="DA43" s="71" t="str">
        <f t="shared" si="97"/>
        <v/>
      </c>
      <c r="DB43" s="71" t="str">
        <f t="shared" si="97"/>
        <v/>
      </c>
      <c r="DC43" s="72" t="str">
        <f t="shared" si="97"/>
        <v/>
      </c>
    </row>
    <row r="44" spans="1:107" x14ac:dyDescent="0.35">
      <c r="A44" s="52">
        <v>120</v>
      </c>
      <c r="B44" s="52">
        <v>43</v>
      </c>
      <c r="E44" s="65" t="s">
        <v>244</v>
      </c>
      <c r="F44" s="55">
        <v>0.93</v>
      </c>
      <c r="H44" s="79"/>
      <c r="I44" s="37"/>
      <c r="J44" s="75"/>
      <c r="K44" s="37"/>
      <c r="L44" s="75">
        <f t="shared" si="11"/>
        <v>0</v>
      </c>
      <c r="M44" s="37"/>
      <c r="N44" s="75"/>
      <c r="O44" s="37"/>
      <c r="P44" s="75"/>
      <c r="Q44" s="37"/>
      <c r="R44" s="75"/>
      <c r="S44" s="37"/>
      <c r="T44" s="75"/>
      <c r="U44" s="61"/>
      <c r="V44" s="75"/>
      <c r="W44" s="37"/>
      <c r="X44" s="75"/>
      <c r="Y44" s="61"/>
      <c r="Z44" s="75"/>
      <c r="AA44" s="61"/>
      <c r="AB44" s="75"/>
      <c r="AC44" s="61"/>
      <c r="AD44" s="75"/>
      <c r="AE44" s="61"/>
      <c r="AF44" s="75"/>
      <c r="AG44" s="61"/>
      <c r="AH44" s="75"/>
      <c r="AJ44" s="75"/>
      <c r="AL44" s="75"/>
      <c r="AM44" s="61">
        <v>10</v>
      </c>
      <c r="AN44" s="58">
        <f>PRODUCT($F44*AM44)</f>
        <v>9.3000000000000007</v>
      </c>
      <c r="AO44" s="61">
        <f>AM44</f>
        <v>10</v>
      </c>
      <c r="AP44" s="58">
        <f>PRODUCT($F44*AO44)</f>
        <v>9.3000000000000007</v>
      </c>
      <c r="AQ44" s="61">
        <f>AO44</f>
        <v>10</v>
      </c>
      <c r="AR44" s="75"/>
      <c r="AS44" s="61">
        <f>AQ44</f>
        <v>10</v>
      </c>
      <c r="AT44" s="75"/>
      <c r="AU44" s="61">
        <f>AS44</f>
        <v>10</v>
      </c>
      <c r="AV44" s="58">
        <f>PRODUCT($F44*AU44)</f>
        <v>9.3000000000000007</v>
      </c>
      <c r="AW44" s="61">
        <f>AU44</f>
        <v>10</v>
      </c>
      <c r="AX44" s="58">
        <f>PRODUCT($F44*AW44)</f>
        <v>9.3000000000000007</v>
      </c>
      <c r="AY44" s="61">
        <f>AW44</f>
        <v>10</v>
      </c>
      <c r="AZ44" s="58">
        <f>PRODUCT($F44*AY44)</f>
        <v>9.3000000000000007</v>
      </c>
      <c r="BA44" s="61">
        <f>AY44</f>
        <v>10</v>
      </c>
      <c r="BB44" s="58">
        <f>PRODUCT($F44*BA44)</f>
        <v>9.3000000000000007</v>
      </c>
      <c r="BC44" s="61">
        <f>BA44</f>
        <v>10</v>
      </c>
      <c r="BD44" s="58">
        <f>PRODUCT($F44*BC44)</f>
        <v>9.3000000000000007</v>
      </c>
      <c r="BE44" s="61">
        <f>BC44</f>
        <v>10</v>
      </c>
      <c r="BF44" s="58">
        <f>PRODUCT($F44*BE44)</f>
        <v>9.3000000000000007</v>
      </c>
      <c r="BG44" s="61">
        <f>BE44</f>
        <v>10</v>
      </c>
      <c r="BH44" s="58">
        <f>PRODUCT($F44*BG44)</f>
        <v>9.3000000000000007</v>
      </c>
      <c r="BI44" s="57">
        <f>BG44</f>
        <v>10</v>
      </c>
      <c r="BJ44" s="58">
        <f>PRODUCT($F44*BI44)</f>
        <v>9.3000000000000007</v>
      </c>
      <c r="BK44" s="80"/>
      <c r="BM44" s="51"/>
      <c r="BN44" s="51"/>
      <c r="BO44" s="64">
        <v>66</v>
      </c>
      <c r="BP44" s="64">
        <v>6</v>
      </c>
      <c r="BQ44" s="64">
        <v>66.06</v>
      </c>
      <c r="BR44" s="34" t="s">
        <v>179</v>
      </c>
      <c r="BS44" s="65" t="s">
        <v>244</v>
      </c>
      <c r="BT44" s="65" t="s">
        <v>237</v>
      </c>
      <c r="BU44" s="37" t="s">
        <v>175</v>
      </c>
      <c r="BV44" s="66">
        <f t="shared" si="5"/>
        <v>1655.6107999999999</v>
      </c>
      <c r="BW44" s="66">
        <f t="shared" si="1"/>
        <v>0</v>
      </c>
      <c r="BX44" s="66" t="str">
        <f t="shared" si="2"/>
        <v/>
      </c>
      <c r="BY44" s="67"/>
      <c r="BZ44" s="68">
        <v>43</v>
      </c>
      <c r="CA44" s="74" t="s">
        <v>41</v>
      </c>
      <c r="CB44" s="69">
        <f t="shared" si="6"/>
        <v>0</v>
      </c>
      <c r="CC44" s="69">
        <f t="shared" si="7"/>
        <v>0</v>
      </c>
      <c r="CD44" s="70"/>
      <c r="CE44" s="71"/>
      <c r="CF44" s="71"/>
      <c r="CG44" s="71">
        <v>43</v>
      </c>
      <c r="CH44" s="71" t="str">
        <f t="shared" si="96"/>
        <v/>
      </c>
      <c r="CI44" s="71" t="str">
        <f t="shared" si="96"/>
        <v/>
      </c>
      <c r="CJ44" s="71" t="str">
        <f t="shared" si="96"/>
        <v/>
      </c>
      <c r="CK44" s="71" t="str">
        <f t="shared" si="96"/>
        <v/>
      </c>
      <c r="CL44" s="71" t="str">
        <f t="shared" si="96"/>
        <v/>
      </c>
      <c r="CM44" s="71" t="str">
        <f t="shared" si="96"/>
        <v/>
      </c>
      <c r="CN44" s="71" t="str">
        <f t="shared" si="96"/>
        <v/>
      </c>
      <c r="CO44" s="71" t="str">
        <f t="shared" si="96"/>
        <v/>
      </c>
      <c r="CP44" s="71" t="str">
        <f t="shared" si="96"/>
        <v/>
      </c>
      <c r="CQ44" s="71" t="str">
        <f t="shared" si="96"/>
        <v/>
      </c>
      <c r="CR44" s="71"/>
      <c r="CS44" s="71">
        <v>43</v>
      </c>
      <c r="CT44" s="71" t="str">
        <f t="shared" si="97"/>
        <v/>
      </c>
      <c r="CU44" s="71" t="str">
        <f t="shared" si="97"/>
        <v/>
      </c>
      <c r="CV44" s="71" t="str">
        <f t="shared" si="97"/>
        <v/>
      </c>
      <c r="CW44" s="71" t="str">
        <f t="shared" si="97"/>
        <v/>
      </c>
      <c r="CX44" s="71" t="str">
        <f t="shared" si="97"/>
        <v/>
      </c>
      <c r="CY44" s="71" t="str">
        <f t="shared" si="97"/>
        <v/>
      </c>
      <c r="CZ44" s="71" t="str">
        <f t="shared" si="97"/>
        <v/>
      </c>
      <c r="DA44" s="71" t="str">
        <f t="shared" si="97"/>
        <v/>
      </c>
      <c r="DB44" s="71" t="str">
        <f t="shared" si="97"/>
        <v/>
      </c>
      <c r="DC44" s="72" t="str">
        <f t="shared" si="97"/>
        <v/>
      </c>
    </row>
    <row r="45" spans="1:107" x14ac:dyDescent="0.35">
      <c r="A45" s="52">
        <v>83</v>
      </c>
      <c r="B45" s="52">
        <v>44</v>
      </c>
      <c r="C45" s="52">
        <v>6</v>
      </c>
      <c r="D45" s="52">
        <v>1</v>
      </c>
      <c r="E45" s="80" t="s">
        <v>245</v>
      </c>
      <c r="F45" s="55">
        <v>0.93</v>
      </c>
      <c r="G45" s="53">
        <v>175</v>
      </c>
      <c r="H45" s="76">
        <f>(F45*G45)</f>
        <v>162.75</v>
      </c>
      <c r="I45" s="77">
        <v>64</v>
      </c>
      <c r="J45" s="58">
        <f>PRODUCT(F45,I45)</f>
        <v>59.52</v>
      </c>
      <c r="K45" s="57"/>
      <c r="L45" s="58">
        <f t="shared" si="11"/>
        <v>0</v>
      </c>
      <c r="M45" s="77">
        <v>114</v>
      </c>
      <c r="N45" s="58">
        <f>PRODUCT(F45*M45)</f>
        <v>106.02000000000001</v>
      </c>
      <c r="O45" s="77">
        <v>117</v>
      </c>
      <c r="P45" s="58">
        <f>PRODUCT(F45*O45)</f>
        <v>108.81</v>
      </c>
      <c r="Q45" s="77">
        <v>99</v>
      </c>
      <c r="R45" s="58">
        <f>PRODUCT(F45*Q45)</f>
        <v>92.070000000000007</v>
      </c>
      <c r="S45" s="77">
        <v>110</v>
      </c>
      <c r="T45" s="58">
        <f>PRODUCT(F45*S45)</f>
        <v>102.30000000000001</v>
      </c>
      <c r="U45" s="57">
        <v>44</v>
      </c>
      <c r="V45" s="58">
        <f>PRODUCT(U45*F45)</f>
        <v>40.92</v>
      </c>
      <c r="W45" s="77">
        <v>33</v>
      </c>
      <c r="X45" s="58">
        <f>PRODUCT(W45*F45)</f>
        <v>30.69</v>
      </c>
      <c r="Y45" s="57">
        <v>26</v>
      </c>
      <c r="Z45" s="58">
        <f>PRODUCT(Y45*F45)</f>
        <v>24.18</v>
      </c>
      <c r="AA45" s="57">
        <v>21</v>
      </c>
      <c r="AB45" s="58">
        <f>PRODUCT(AA45*F45)</f>
        <v>19.53</v>
      </c>
      <c r="AC45" s="57">
        <v>24</v>
      </c>
      <c r="AD45" s="58">
        <f>PRODUCT(AC45*F45)</f>
        <v>22.32</v>
      </c>
      <c r="AE45" s="57">
        <v>20</v>
      </c>
      <c r="AF45" s="58">
        <f>PRODUCT(F45,AE45)</f>
        <v>18.600000000000001</v>
      </c>
      <c r="AG45" s="57">
        <v>30</v>
      </c>
      <c r="AH45" s="58">
        <f>PRODUCT(F45,AG45)</f>
        <v>27.900000000000002</v>
      </c>
      <c r="AI45" s="61">
        <v>29</v>
      </c>
      <c r="AJ45" s="58">
        <f>PRODUCT(F45,AI45)</f>
        <v>26.970000000000002</v>
      </c>
      <c r="AK45" s="73">
        <v>38</v>
      </c>
      <c r="AL45" s="58">
        <f>PRODUCT(F45,AK45)</f>
        <v>35.340000000000003</v>
      </c>
      <c r="AM45" s="61">
        <v>29</v>
      </c>
      <c r="AN45" s="58">
        <f>PRODUCT(F45,AM45)</f>
        <v>26.970000000000002</v>
      </c>
      <c r="AO45" s="61">
        <v>30</v>
      </c>
      <c r="AP45" s="58">
        <f>PRODUCT( F45*AO45)</f>
        <v>27.900000000000002</v>
      </c>
      <c r="AQ45" s="61">
        <v>29</v>
      </c>
      <c r="AR45" s="58">
        <f>PRODUCT( F45*AQ45)</f>
        <v>26.970000000000002</v>
      </c>
      <c r="AS45" s="57">
        <v>39</v>
      </c>
      <c r="AT45" s="58">
        <f>PRODUCT( F45*AS45)</f>
        <v>36.270000000000003</v>
      </c>
      <c r="AU45" s="57">
        <v>21</v>
      </c>
      <c r="AV45" s="58">
        <f>PRODUCT( F45*AU45)</f>
        <v>19.53</v>
      </c>
      <c r="AW45" s="57">
        <v>25</v>
      </c>
      <c r="AX45" s="58">
        <f>PRODUCT(F45*AW45)</f>
        <v>23.25</v>
      </c>
      <c r="AY45" s="57">
        <v>26</v>
      </c>
      <c r="AZ45" s="58">
        <f>PRODUCT(F45*AY45)</f>
        <v>24.18</v>
      </c>
      <c r="BA45" s="57">
        <v>17</v>
      </c>
      <c r="BB45" s="58">
        <f>PRODUCT(F45*BA45)</f>
        <v>15.81</v>
      </c>
      <c r="BC45" s="57">
        <v>14</v>
      </c>
      <c r="BD45" s="58">
        <f>PRODUCT(F45*BC45)</f>
        <v>13.020000000000001</v>
      </c>
      <c r="BE45" s="57">
        <v>16</v>
      </c>
      <c r="BF45" s="58">
        <f>PRODUCT(F45*BE45)</f>
        <v>14.88</v>
      </c>
      <c r="BG45" s="57">
        <v>26</v>
      </c>
      <c r="BH45" s="58">
        <f>PRODUCT(F45*BG45)</f>
        <v>24.18</v>
      </c>
      <c r="BI45" s="57">
        <v>22</v>
      </c>
      <c r="BJ45" s="58">
        <f>PRODUCT(F45*BI45)</f>
        <v>20.46</v>
      </c>
      <c r="BK45" s="62">
        <f>I45</f>
        <v>64</v>
      </c>
      <c r="BL45" s="63">
        <f>J45</f>
        <v>59.52</v>
      </c>
      <c r="BO45" s="78">
        <v>68</v>
      </c>
      <c r="BP45" s="78">
        <v>1</v>
      </c>
      <c r="BQ45" s="78">
        <v>68.010000000000005</v>
      </c>
      <c r="BR45" s="34" t="s">
        <v>179</v>
      </c>
      <c r="BS45" s="65" t="s">
        <v>245</v>
      </c>
      <c r="BT45" s="65" t="s">
        <v>246</v>
      </c>
      <c r="BU45" s="37" t="s">
        <v>175</v>
      </c>
      <c r="BV45" s="66">
        <f t="shared" si="5"/>
        <v>3531.9697066666663</v>
      </c>
      <c r="BW45" s="66">
        <f t="shared" si="1"/>
        <v>833.30582861641085</v>
      </c>
      <c r="BX45" s="66">
        <f t="shared" si="2"/>
        <v>23.593232610221111</v>
      </c>
      <c r="BY45" s="67"/>
      <c r="BZ45" s="68">
        <v>44</v>
      </c>
      <c r="CA45" s="74" t="s">
        <v>42</v>
      </c>
      <c r="CB45" s="69">
        <f t="shared" si="6"/>
        <v>0</v>
      </c>
      <c r="CC45" s="69">
        <f t="shared" si="7"/>
        <v>0</v>
      </c>
      <c r="CD45" s="70"/>
      <c r="CE45" s="71"/>
      <c r="CF45" s="71"/>
      <c r="CG45" s="71">
        <v>44</v>
      </c>
      <c r="CH45" s="71" t="str">
        <f t="shared" si="96"/>
        <v/>
      </c>
      <c r="CI45" s="71" t="str">
        <f t="shared" si="96"/>
        <v/>
      </c>
      <c r="CJ45" s="71" t="str">
        <f t="shared" si="96"/>
        <v/>
      </c>
      <c r="CK45" s="71" t="str">
        <f t="shared" si="96"/>
        <v/>
      </c>
      <c r="CL45" s="71" t="str">
        <f t="shared" si="96"/>
        <v/>
      </c>
      <c r="CM45" s="71" t="str">
        <f t="shared" si="96"/>
        <v/>
      </c>
      <c r="CN45" s="71" t="str">
        <f t="shared" si="96"/>
        <v/>
      </c>
      <c r="CO45" s="71" t="str">
        <f t="shared" si="96"/>
        <v/>
      </c>
      <c r="CP45" s="71" t="str">
        <f t="shared" si="96"/>
        <v/>
      </c>
      <c r="CQ45" s="71" t="str">
        <f t="shared" si="96"/>
        <v/>
      </c>
      <c r="CR45" s="71"/>
      <c r="CS45" s="71">
        <v>44</v>
      </c>
      <c r="CT45" s="71" t="str">
        <f t="shared" si="97"/>
        <v/>
      </c>
      <c r="CU45" s="71" t="str">
        <f t="shared" si="97"/>
        <v/>
      </c>
      <c r="CV45" s="71" t="str">
        <f t="shared" si="97"/>
        <v/>
      </c>
      <c r="CW45" s="71" t="str">
        <f t="shared" si="97"/>
        <v/>
      </c>
      <c r="CX45" s="71" t="str">
        <f t="shared" si="97"/>
        <v/>
      </c>
      <c r="CY45" s="71" t="str">
        <f t="shared" si="97"/>
        <v/>
      </c>
      <c r="CZ45" s="71" t="str">
        <f t="shared" si="97"/>
        <v/>
      </c>
      <c r="DA45" s="71" t="str">
        <f t="shared" si="97"/>
        <v/>
      </c>
      <c r="DB45" s="71" t="str">
        <f t="shared" si="97"/>
        <v/>
      </c>
      <c r="DC45" s="72" t="str">
        <f t="shared" si="97"/>
        <v/>
      </c>
    </row>
    <row r="46" spans="1:107" x14ac:dyDescent="0.35">
      <c r="A46" s="52">
        <v>86</v>
      </c>
      <c r="B46" s="52">
        <v>45</v>
      </c>
      <c r="C46" s="52">
        <v>6</v>
      </c>
      <c r="D46" s="52">
        <v>1</v>
      </c>
      <c r="E46" s="80" t="s">
        <v>247</v>
      </c>
      <c r="F46" s="55">
        <v>0.93</v>
      </c>
      <c r="G46" s="53">
        <v>2536</v>
      </c>
      <c r="H46" s="76">
        <f>(F46*G46)</f>
        <v>2358.48</v>
      </c>
      <c r="I46" s="77">
        <v>926</v>
      </c>
      <c r="J46" s="58">
        <f>PRODUCT(F46,I46)</f>
        <v>861.18000000000006</v>
      </c>
      <c r="K46" s="57"/>
      <c r="L46" s="58">
        <f t="shared" si="11"/>
        <v>0</v>
      </c>
      <c r="M46" s="77">
        <v>1065</v>
      </c>
      <c r="N46" s="58">
        <f>PRODUCT(F46*M46)</f>
        <v>990.45</v>
      </c>
      <c r="O46" s="77">
        <v>1916</v>
      </c>
      <c r="P46" s="58">
        <f>PRODUCT(F46*O46)</f>
        <v>1781.88</v>
      </c>
      <c r="Q46" s="77">
        <v>2118</v>
      </c>
      <c r="R46" s="58">
        <f>PRODUCT(F46*Q46)</f>
        <v>1969.74</v>
      </c>
      <c r="S46" s="77">
        <v>1850</v>
      </c>
      <c r="T46" s="58">
        <f>PRODUCT(F46*S46)</f>
        <v>1720.5</v>
      </c>
      <c r="U46" s="57">
        <v>2146</v>
      </c>
      <c r="V46" s="58">
        <f>PRODUCT(U46*F46)</f>
        <v>1995.7800000000002</v>
      </c>
      <c r="W46" s="77">
        <v>2281</v>
      </c>
      <c r="X46" s="58">
        <f>PRODUCT(W46*F46)</f>
        <v>2121.33</v>
      </c>
      <c r="Y46" s="57">
        <v>2098</v>
      </c>
      <c r="Z46" s="58">
        <f>PRODUCT(Y46*F46)</f>
        <v>1951.14</v>
      </c>
      <c r="AA46" s="57">
        <v>1652</v>
      </c>
      <c r="AB46" s="58">
        <f>PRODUCT(AA46*F46)</f>
        <v>1536.3600000000001</v>
      </c>
      <c r="AC46" s="57">
        <v>1650</v>
      </c>
      <c r="AD46" s="58">
        <f>PRODUCT(AC46*F46)</f>
        <v>1534.5</v>
      </c>
      <c r="AE46" s="57">
        <v>1512</v>
      </c>
      <c r="AF46" s="58">
        <f>PRODUCT(F46,AE46)</f>
        <v>1406.16</v>
      </c>
      <c r="AG46" s="57">
        <v>1412</v>
      </c>
      <c r="AH46" s="58">
        <f>PRODUCT(F46,AG46)</f>
        <v>1313.16</v>
      </c>
      <c r="AI46" s="61">
        <v>1106</v>
      </c>
      <c r="AJ46" s="58">
        <f>PRODUCT(F46,AI46)</f>
        <v>1028.5800000000002</v>
      </c>
      <c r="AK46" s="73">
        <v>726</v>
      </c>
      <c r="AL46" s="58">
        <f>PRODUCT(F46,AK46)</f>
        <v>675.18000000000006</v>
      </c>
      <c r="AM46" s="61">
        <v>550</v>
      </c>
      <c r="AN46" s="58">
        <f>PRODUCT(F46,AM46)</f>
        <v>511.5</v>
      </c>
      <c r="AO46" s="61">
        <v>510</v>
      </c>
      <c r="AP46" s="58">
        <f>PRODUCT( F46*AO46)</f>
        <v>474.3</v>
      </c>
      <c r="AQ46" s="61">
        <v>497</v>
      </c>
      <c r="AR46" s="58">
        <f>PRODUCT( F46*AQ46)</f>
        <v>462.21000000000004</v>
      </c>
      <c r="AS46" s="57">
        <v>592</v>
      </c>
      <c r="AT46" s="58">
        <f>PRODUCT( F46*AS46)</f>
        <v>550.56000000000006</v>
      </c>
      <c r="AU46" s="57">
        <v>506</v>
      </c>
      <c r="AV46" s="58">
        <f>PRODUCT( F46*AU46)</f>
        <v>470.58000000000004</v>
      </c>
      <c r="AW46" s="57">
        <v>440</v>
      </c>
      <c r="AX46" s="58">
        <f>PRODUCT(F46*AW46)</f>
        <v>409.20000000000005</v>
      </c>
      <c r="AY46" s="57">
        <v>408</v>
      </c>
      <c r="AZ46" s="58">
        <f>PRODUCT(F46*AY46)</f>
        <v>379.44</v>
      </c>
      <c r="BA46" s="57">
        <v>278</v>
      </c>
      <c r="BB46" s="58">
        <f>PRODUCT(F46*BA46)</f>
        <v>258.54000000000002</v>
      </c>
      <c r="BC46" s="57">
        <v>266</v>
      </c>
      <c r="BD46" s="58">
        <f>PRODUCT(F46*BC46)</f>
        <v>247.38000000000002</v>
      </c>
      <c r="BE46" s="57">
        <v>261</v>
      </c>
      <c r="BF46" s="58">
        <f>PRODUCT(F46*BE46)</f>
        <v>242.73000000000002</v>
      </c>
      <c r="BG46" s="57">
        <v>293</v>
      </c>
      <c r="BH46" s="58">
        <f>PRODUCT(F46*BG46)</f>
        <v>272.49</v>
      </c>
      <c r="BI46" s="57">
        <v>302</v>
      </c>
      <c r="BJ46" s="58">
        <f>PRODUCT(F46*BI46)</f>
        <v>280.86</v>
      </c>
      <c r="BK46" s="62">
        <f>I46</f>
        <v>926</v>
      </c>
      <c r="BL46" s="63">
        <f>J46</f>
        <v>861.18000000000006</v>
      </c>
      <c r="BO46" s="78">
        <v>75</v>
      </c>
      <c r="BP46" s="78">
        <v>1</v>
      </c>
      <c r="BQ46" s="78">
        <v>75.010000000000005</v>
      </c>
      <c r="BR46" s="34" t="s">
        <v>179</v>
      </c>
      <c r="BS46" s="65" t="s">
        <v>247</v>
      </c>
      <c r="BT46" s="65" t="s">
        <v>248</v>
      </c>
      <c r="BU46" s="37" t="s">
        <v>175</v>
      </c>
      <c r="BV46" s="66">
        <f t="shared" si="5"/>
        <v>47240.094826666667</v>
      </c>
      <c r="BW46" s="66">
        <f t="shared" si="1"/>
        <v>3567.5755725047411</v>
      </c>
      <c r="BX46" s="66">
        <f t="shared" si="2"/>
        <v>7.552007644342984</v>
      </c>
      <c r="BY46" s="67"/>
      <c r="BZ46" s="68">
        <v>45</v>
      </c>
      <c r="CA46" s="74" t="s">
        <v>43</v>
      </c>
      <c r="CB46" s="69">
        <f t="shared" si="6"/>
        <v>15838.676653333336</v>
      </c>
      <c r="CC46" s="69">
        <f t="shared" si="7"/>
        <v>1388.4775145786734</v>
      </c>
      <c r="CD46" s="70"/>
      <c r="CE46" s="71"/>
      <c r="CF46" s="71"/>
      <c r="CG46" s="71">
        <v>45</v>
      </c>
      <c r="CH46" s="71">
        <f t="shared" si="96"/>
        <v>15838.676653333336</v>
      </c>
      <c r="CI46" s="71" t="str">
        <f t="shared" si="96"/>
        <v/>
      </c>
      <c r="CJ46" s="71" t="str">
        <f t="shared" si="96"/>
        <v/>
      </c>
      <c r="CK46" s="71" t="str">
        <f t="shared" si="96"/>
        <v/>
      </c>
      <c r="CL46" s="71" t="str">
        <f t="shared" si="96"/>
        <v/>
      </c>
      <c r="CM46" s="71" t="str">
        <f t="shared" si="96"/>
        <v/>
      </c>
      <c r="CN46" s="71" t="str">
        <f t="shared" si="96"/>
        <v/>
      </c>
      <c r="CO46" s="71" t="str">
        <f t="shared" si="96"/>
        <v/>
      </c>
      <c r="CP46" s="71" t="str">
        <f t="shared" si="96"/>
        <v/>
      </c>
      <c r="CQ46" s="71" t="str">
        <f t="shared" si="96"/>
        <v/>
      </c>
      <c r="CR46" s="71"/>
      <c r="CS46" s="71">
        <v>45</v>
      </c>
      <c r="CT46" s="71">
        <f t="shared" si="97"/>
        <v>1927869.8084905704</v>
      </c>
      <c r="CU46" s="71" t="str">
        <f t="shared" si="97"/>
        <v/>
      </c>
      <c r="CV46" s="71" t="str">
        <f t="shared" si="97"/>
        <v/>
      </c>
      <c r="CW46" s="71" t="str">
        <f t="shared" si="97"/>
        <v/>
      </c>
      <c r="CX46" s="71" t="str">
        <f t="shared" si="97"/>
        <v/>
      </c>
      <c r="CY46" s="71" t="str">
        <f t="shared" si="97"/>
        <v/>
      </c>
      <c r="CZ46" s="71" t="str">
        <f t="shared" si="97"/>
        <v/>
      </c>
      <c r="DA46" s="71" t="str">
        <f t="shared" si="97"/>
        <v/>
      </c>
      <c r="DB46" s="71" t="str">
        <f t="shared" si="97"/>
        <v/>
      </c>
      <c r="DC46" s="72" t="str">
        <f t="shared" si="97"/>
        <v/>
      </c>
    </row>
    <row r="47" spans="1:107" x14ac:dyDescent="0.35">
      <c r="A47" s="52">
        <v>121</v>
      </c>
      <c r="B47" s="52">
        <v>46</v>
      </c>
      <c r="E47" s="65" t="s">
        <v>249</v>
      </c>
      <c r="F47" s="55">
        <v>0.93</v>
      </c>
      <c r="H47" s="79"/>
      <c r="I47" s="37"/>
      <c r="J47" s="75"/>
      <c r="K47" s="37"/>
      <c r="L47" s="75">
        <f t="shared" si="11"/>
        <v>0</v>
      </c>
      <c r="M47" s="37"/>
      <c r="N47" s="75"/>
      <c r="O47" s="37"/>
      <c r="P47" s="75"/>
      <c r="Q47" s="37"/>
      <c r="R47" s="75"/>
      <c r="S47" s="37"/>
      <c r="T47" s="75"/>
      <c r="U47" s="61"/>
      <c r="V47" s="75"/>
      <c r="W47" s="37"/>
      <c r="X47" s="75"/>
      <c r="Y47" s="61"/>
      <c r="Z47" s="75"/>
      <c r="AA47" s="61"/>
      <c r="AB47" s="75"/>
      <c r="AC47" s="61"/>
      <c r="AD47" s="75"/>
      <c r="AE47" s="61"/>
      <c r="AF47" s="75"/>
      <c r="AG47" s="61"/>
      <c r="AH47" s="75"/>
      <c r="AJ47" s="75"/>
      <c r="AL47" s="75"/>
      <c r="AM47" s="61">
        <v>10</v>
      </c>
      <c r="AN47" s="58">
        <f>PRODUCT($F47*AM47)</f>
        <v>9.3000000000000007</v>
      </c>
      <c r="AO47" s="61">
        <f>AM47</f>
        <v>10</v>
      </c>
      <c r="AP47" s="58">
        <f>PRODUCT($F47*AO47)</f>
        <v>9.3000000000000007</v>
      </c>
      <c r="AQ47" s="61">
        <f>AO47</f>
        <v>10</v>
      </c>
      <c r="AR47" s="75"/>
      <c r="AS47" s="61">
        <f>AQ47</f>
        <v>10</v>
      </c>
      <c r="AT47" s="75"/>
      <c r="AU47" s="61">
        <f>AS47</f>
        <v>10</v>
      </c>
      <c r="AV47" s="58">
        <f>PRODUCT($F47*AU47)</f>
        <v>9.3000000000000007</v>
      </c>
      <c r="AW47" s="61">
        <f>AU47</f>
        <v>10</v>
      </c>
      <c r="AX47" s="58">
        <f>PRODUCT($F47*AW47)</f>
        <v>9.3000000000000007</v>
      </c>
      <c r="AY47" s="61">
        <f>AW47</f>
        <v>10</v>
      </c>
      <c r="AZ47" s="58">
        <f>PRODUCT($F47*AY47)</f>
        <v>9.3000000000000007</v>
      </c>
      <c r="BA47" s="61">
        <f>AY47</f>
        <v>10</v>
      </c>
      <c r="BB47" s="58">
        <f>PRODUCT($F47*BA47)</f>
        <v>9.3000000000000007</v>
      </c>
      <c r="BC47" s="61">
        <f>BA47</f>
        <v>10</v>
      </c>
      <c r="BD47" s="58">
        <f>PRODUCT($F47*BC47)</f>
        <v>9.3000000000000007</v>
      </c>
      <c r="BE47" s="61">
        <f>BC47</f>
        <v>10</v>
      </c>
      <c r="BF47" s="58">
        <f>PRODUCT($F47*BE47)</f>
        <v>9.3000000000000007</v>
      </c>
      <c r="BG47" s="61">
        <f>BE47</f>
        <v>10</v>
      </c>
      <c r="BH47" s="58">
        <f>PRODUCT($F47*BG47)</f>
        <v>9.3000000000000007</v>
      </c>
      <c r="BI47" s="57">
        <f>BG47</f>
        <v>10</v>
      </c>
      <c r="BJ47" s="58">
        <f>PRODUCT($F47*BI47)</f>
        <v>9.3000000000000007</v>
      </c>
      <c r="BK47" s="80"/>
      <c r="BM47" s="51"/>
      <c r="BN47" s="51"/>
      <c r="BO47" s="78">
        <v>82</v>
      </c>
      <c r="BP47" s="78">
        <v>1</v>
      </c>
      <c r="BQ47" s="78">
        <v>82.01</v>
      </c>
      <c r="BR47" s="34" t="s">
        <v>179</v>
      </c>
      <c r="BS47" s="65" t="s">
        <v>249</v>
      </c>
      <c r="BT47" s="65" t="s">
        <v>250</v>
      </c>
      <c r="BU47" s="37" t="s">
        <v>175</v>
      </c>
      <c r="BV47" s="66">
        <f t="shared" si="5"/>
        <v>1655.6107999999999</v>
      </c>
      <c r="BW47" s="66">
        <f t="shared" si="1"/>
        <v>0</v>
      </c>
      <c r="BX47" s="66" t="str">
        <f t="shared" si="2"/>
        <v/>
      </c>
      <c r="BY47" s="67"/>
      <c r="BZ47" s="68">
        <v>46</v>
      </c>
      <c r="CA47" s="74" t="s">
        <v>44</v>
      </c>
      <c r="CB47" s="69">
        <f t="shared" si="6"/>
        <v>0</v>
      </c>
      <c r="CC47" s="69">
        <f t="shared" si="7"/>
        <v>0</v>
      </c>
      <c r="CD47" s="70"/>
      <c r="CE47" s="71"/>
      <c r="CF47" s="71"/>
      <c r="CG47" s="71">
        <v>46</v>
      </c>
      <c r="CH47" s="71" t="str">
        <f t="shared" si="96"/>
        <v/>
      </c>
      <c r="CI47" s="71" t="str">
        <f t="shared" si="96"/>
        <v/>
      </c>
      <c r="CJ47" s="71" t="str">
        <f t="shared" si="96"/>
        <v/>
      </c>
      <c r="CK47" s="71" t="str">
        <f t="shared" si="96"/>
        <v/>
      </c>
      <c r="CL47" s="71" t="str">
        <f t="shared" si="96"/>
        <v/>
      </c>
      <c r="CM47" s="71" t="str">
        <f t="shared" si="96"/>
        <v/>
      </c>
      <c r="CN47" s="71" t="str">
        <f t="shared" si="96"/>
        <v/>
      </c>
      <c r="CO47" s="71" t="str">
        <f t="shared" si="96"/>
        <v/>
      </c>
      <c r="CP47" s="71" t="str">
        <f t="shared" si="96"/>
        <v/>
      </c>
      <c r="CQ47" s="71" t="str">
        <f t="shared" si="96"/>
        <v/>
      </c>
      <c r="CR47" s="71"/>
      <c r="CS47" s="71">
        <v>46</v>
      </c>
      <c r="CT47" s="71" t="str">
        <f t="shared" si="97"/>
        <v/>
      </c>
      <c r="CU47" s="71" t="str">
        <f t="shared" si="97"/>
        <v/>
      </c>
      <c r="CV47" s="71" t="str">
        <f t="shared" si="97"/>
        <v/>
      </c>
      <c r="CW47" s="71" t="str">
        <f t="shared" si="97"/>
        <v/>
      </c>
      <c r="CX47" s="71" t="str">
        <f t="shared" si="97"/>
        <v/>
      </c>
      <c r="CY47" s="71" t="str">
        <f t="shared" si="97"/>
        <v/>
      </c>
      <c r="CZ47" s="71" t="str">
        <f t="shared" si="97"/>
        <v/>
      </c>
      <c r="DA47" s="71" t="str">
        <f t="shared" si="97"/>
        <v/>
      </c>
      <c r="DB47" s="71" t="str">
        <f t="shared" si="97"/>
        <v/>
      </c>
      <c r="DC47" s="72" t="str">
        <f t="shared" si="97"/>
        <v/>
      </c>
    </row>
    <row r="48" spans="1:107" x14ac:dyDescent="0.35">
      <c r="A48" s="52">
        <v>122</v>
      </c>
      <c r="B48" s="52">
        <v>47</v>
      </c>
      <c r="E48" s="65" t="s">
        <v>251</v>
      </c>
      <c r="F48" s="55">
        <v>0.93</v>
      </c>
      <c r="H48" s="79"/>
      <c r="I48" s="37"/>
      <c r="J48" s="75"/>
      <c r="K48" s="37"/>
      <c r="L48" s="75">
        <f t="shared" si="11"/>
        <v>0</v>
      </c>
      <c r="M48" s="37"/>
      <c r="N48" s="75"/>
      <c r="O48" s="37"/>
      <c r="P48" s="75"/>
      <c r="Q48" s="37"/>
      <c r="R48" s="75"/>
      <c r="S48" s="37"/>
      <c r="T48" s="75"/>
      <c r="U48" s="61"/>
      <c r="V48" s="75"/>
      <c r="W48" s="37"/>
      <c r="X48" s="75"/>
      <c r="Y48" s="61"/>
      <c r="Z48" s="75"/>
      <c r="AA48" s="61"/>
      <c r="AB48" s="75"/>
      <c r="AC48" s="61"/>
      <c r="AD48" s="75"/>
      <c r="AE48" s="61"/>
      <c r="AF48" s="75"/>
      <c r="AG48" s="61"/>
      <c r="AH48" s="75"/>
      <c r="AJ48" s="75"/>
      <c r="AL48" s="75"/>
      <c r="AM48" s="61">
        <v>10</v>
      </c>
      <c r="AN48" s="58">
        <f>PRODUCT($F48*AM48)</f>
        <v>9.3000000000000007</v>
      </c>
      <c r="AO48" s="61">
        <f>AM48</f>
        <v>10</v>
      </c>
      <c r="AP48" s="58">
        <f>PRODUCT($F48*AO48)</f>
        <v>9.3000000000000007</v>
      </c>
      <c r="AQ48" s="61">
        <f>AO48</f>
        <v>10</v>
      </c>
      <c r="AR48" s="75"/>
      <c r="AS48" s="61">
        <f>AQ48</f>
        <v>10</v>
      </c>
      <c r="AT48" s="75"/>
      <c r="AU48" s="61">
        <f>AS48</f>
        <v>10</v>
      </c>
      <c r="AV48" s="58">
        <f>PRODUCT($F48*AU48)</f>
        <v>9.3000000000000007</v>
      </c>
      <c r="AW48" s="61">
        <f>AU48</f>
        <v>10</v>
      </c>
      <c r="AX48" s="58">
        <f>PRODUCT($F48*AW48)</f>
        <v>9.3000000000000007</v>
      </c>
      <c r="AY48" s="61">
        <f>AW48</f>
        <v>10</v>
      </c>
      <c r="AZ48" s="58">
        <f>PRODUCT($F48*AY48)</f>
        <v>9.3000000000000007</v>
      </c>
      <c r="BA48" s="61">
        <f>AY48</f>
        <v>10</v>
      </c>
      <c r="BB48" s="58">
        <f>PRODUCT($F48*BA48)</f>
        <v>9.3000000000000007</v>
      </c>
      <c r="BC48" s="61">
        <f>BA48</f>
        <v>10</v>
      </c>
      <c r="BD48" s="58">
        <f>PRODUCT($F48*BC48)</f>
        <v>9.3000000000000007</v>
      </c>
      <c r="BE48" s="61">
        <f>BC48</f>
        <v>10</v>
      </c>
      <c r="BF48" s="58">
        <f>PRODUCT($F48*BE48)</f>
        <v>9.3000000000000007</v>
      </c>
      <c r="BG48" s="61">
        <f>BE48</f>
        <v>10</v>
      </c>
      <c r="BH48" s="58">
        <f>PRODUCT($F48*BG48)</f>
        <v>9.3000000000000007</v>
      </c>
      <c r="BI48" s="57">
        <f>BG48</f>
        <v>10</v>
      </c>
      <c r="BJ48" s="58">
        <f>PRODUCT($F48*BI48)</f>
        <v>9.3000000000000007</v>
      </c>
      <c r="BK48" s="80"/>
      <c r="BM48" s="51"/>
      <c r="BN48" s="51"/>
      <c r="BO48" s="78">
        <v>82</v>
      </c>
      <c r="BP48" s="78">
        <v>2</v>
      </c>
      <c r="BQ48" s="78">
        <v>82.02</v>
      </c>
      <c r="BR48" s="34" t="s">
        <v>179</v>
      </c>
      <c r="BS48" s="65" t="s">
        <v>251</v>
      </c>
      <c r="BT48" s="65" t="s">
        <v>250</v>
      </c>
      <c r="BU48" s="37" t="s">
        <v>175</v>
      </c>
      <c r="BV48" s="66">
        <f t="shared" si="5"/>
        <v>1655.6107999999999</v>
      </c>
      <c r="BW48" s="66">
        <f t="shared" si="1"/>
        <v>0</v>
      </c>
      <c r="BX48" s="66" t="str">
        <f t="shared" si="2"/>
        <v/>
      </c>
      <c r="BY48" s="67"/>
      <c r="BZ48" s="68">
        <v>47</v>
      </c>
      <c r="CA48" s="74" t="s">
        <v>45</v>
      </c>
      <c r="CB48" s="69">
        <f t="shared" si="6"/>
        <v>0</v>
      </c>
      <c r="CC48" s="69">
        <f t="shared" si="7"/>
        <v>0</v>
      </c>
      <c r="CD48" s="70"/>
      <c r="CE48" s="71"/>
      <c r="CF48" s="71"/>
      <c r="CG48" s="71">
        <v>47</v>
      </c>
      <c r="CH48" s="71" t="str">
        <f t="shared" si="96"/>
        <v/>
      </c>
      <c r="CI48" s="71" t="str">
        <f t="shared" si="96"/>
        <v/>
      </c>
      <c r="CJ48" s="71" t="str">
        <f t="shared" si="96"/>
        <v/>
      </c>
      <c r="CK48" s="71" t="str">
        <f t="shared" si="96"/>
        <v/>
      </c>
      <c r="CL48" s="71" t="str">
        <f t="shared" si="96"/>
        <v/>
      </c>
      <c r="CM48" s="71" t="str">
        <f t="shared" si="96"/>
        <v/>
      </c>
      <c r="CN48" s="71" t="str">
        <f t="shared" si="96"/>
        <v/>
      </c>
      <c r="CO48" s="71" t="str">
        <f t="shared" si="96"/>
        <v/>
      </c>
      <c r="CP48" s="71" t="str">
        <f t="shared" si="96"/>
        <v/>
      </c>
      <c r="CQ48" s="71" t="str">
        <f t="shared" si="96"/>
        <v/>
      </c>
      <c r="CR48" s="71"/>
      <c r="CS48" s="71">
        <v>47</v>
      </c>
      <c r="CT48" s="71" t="str">
        <f t="shared" si="97"/>
        <v/>
      </c>
      <c r="CU48" s="71" t="str">
        <f t="shared" si="97"/>
        <v/>
      </c>
      <c r="CV48" s="71" t="str">
        <f t="shared" si="97"/>
        <v/>
      </c>
      <c r="CW48" s="71" t="str">
        <f t="shared" si="97"/>
        <v/>
      </c>
      <c r="CX48" s="71" t="str">
        <f t="shared" si="97"/>
        <v/>
      </c>
      <c r="CY48" s="71" t="str">
        <f t="shared" si="97"/>
        <v/>
      </c>
      <c r="CZ48" s="71" t="str">
        <f t="shared" si="97"/>
        <v/>
      </c>
      <c r="DA48" s="71" t="str">
        <f t="shared" si="97"/>
        <v/>
      </c>
      <c r="DB48" s="71" t="str">
        <f t="shared" si="97"/>
        <v/>
      </c>
      <c r="DC48" s="72" t="str">
        <f t="shared" si="97"/>
        <v/>
      </c>
    </row>
    <row r="49" spans="1:107" x14ac:dyDescent="0.35">
      <c r="A49" s="52">
        <v>123</v>
      </c>
      <c r="B49" s="52">
        <v>48</v>
      </c>
      <c r="E49" s="65" t="s">
        <v>252</v>
      </c>
      <c r="F49" s="55">
        <v>0.93</v>
      </c>
      <c r="H49" s="79"/>
      <c r="I49" s="37"/>
      <c r="J49" s="75"/>
      <c r="K49" s="37"/>
      <c r="L49" s="75">
        <f t="shared" si="11"/>
        <v>0</v>
      </c>
      <c r="M49" s="37"/>
      <c r="N49" s="75"/>
      <c r="O49" s="37"/>
      <c r="P49" s="75"/>
      <c r="Q49" s="37"/>
      <c r="R49" s="75"/>
      <c r="S49" s="37"/>
      <c r="T49" s="75"/>
      <c r="U49" s="61"/>
      <c r="V49" s="75"/>
      <c r="W49" s="37"/>
      <c r="X49" s="75"/>
      <c r="Y49" s="61"/>
      <c r="Z49" s="75"/>
      <c r="AA49" s="61"/>
      <c r="AB49" s="75"/>
      <c r="AC49" s="61"/>
      <c r="AD49" s="75"/>
      <c r="AE49" s="61"/>
      <c r="AF49" s="75"/>
      <c r="AG49" s="61"/>
      <c r="AH49" s="75"/>
      <c r="AJ49" s="75"/>
      <c r="AL49" s="75"/>
      <c r="AM49" s="61">
        <v>10</v>
      </c>
      <c r="AN49" s="58">
        <f>PRODUCT($F49*AM49)</f>
        <v>9.3000000000000007</v>
      </c>
      <c r="AO49" s="61">
        <f>AM49</f>
        <v>10</v>
      </c>
      <c r="AP49" s="58">
        <f>PRODUCT($F49*AO49)</f>
        <v>9.3000000000000007</v>
      </c>
      <c r="AQ49" s="61">
        <f>AO49</f>
        <v>10</v>
      </c>
      <c r="AR49" s="75"/>
      <c r="AS49" s="61">
        <f>AQ49</f>
        <v>10</v>
      </c>
      <c r="AT49" s="75"/>
      <c r="AU49" s="61">
        <f>AS49</f>
        <v>10</v>
      </c>
      <c r="AV49" s="58">
        <f>PRODUCT($F49*AU49)</f>
        <v>9.3000000000000007</v>
      </c>
      <c r="AW49" s="61">
        <f>AU49</f>
        <v>10</v>
      </c>
      <c r="AX49" s="58">
        <f>PRODUCT($F49*AW49)</f>
        <v>9.3000000000000007</v>
      </c>
      <c r="AY49" s="61">
        <f>AW49</f>
        <v>10</v>
      </c>
      <c r="AZ49" s="58">
        <f>PRODUCT($F49*AY49)</f>
        <v>9.3000000000000007</v>
      </c>
      <c r="BA49" s="61">
        <f>AY49</f>
        <v>10</v>
      </c>
      <c r="BB49" s="58">
        <f>PRODUCT($F49*BA49)</f>
        <v>9.3000000000000007</v>
      </c>
      <c r="BC49" s="61">
        <f>BA49</f>
        <v>10</v>
      </c>
      <c r="BD49" s="58">
        <f>PRODUCT($F49*BC49)</f>
        <v>9.3000000000000007</v>
      </c>
      <c r="BE49" s="61">
        <f>BC49</f>
        <v>10</v>
      </c>
      <c r="BF49" s="58">
        <f>PRODUCT($F49*BE49)</f>
        <v>9.3000000000000007</v>
      </c>
      <c r="BG49" s="61">
        <f>BE49</f>
        <v>10</v>
      </c>
      <c r="BH49" s="58">
        <f>PRODUCT($F49*BG49)</f>
        <v>9.3000000000000007</v>
      </c>
      <c r="BI49" s="57">
        <f>BG49</f>
        <v>10</v>
      </c>
      <c r="BJ49" s="58">
        <f>PRODUCT($F49*BI49)</f>
        <v>9.3000000000000007</v>
      </c>
      <c r="BK49" s="80"/>
      <c r="BM49" s="51"/>
      <c r="BN49" s="51"/>
      <c r="BO49" s="78">
        <v>82</v>
      </c>
      <c r="BP49" s="78">
        <v>3</v>
      </c>
      <c r="BQ49" s="78">
        <v>82.03</v>
      </c>
      <c r="BR49" s="34" t="s">
        <v>179</v>
      </c>
      <c r="BS49" s="65" t="s">
        <v>252</v>
      </c>
      <c r="BT49" s="65" t="s">
        <v>250</v>
      </c>
      <c r="BU49" s="37" t="s">
        <v>175</v>
      </c>
      <c r="BV49" s="66">
        <f t="shared" si="5"/>
        <v>1655.6107999999999</v>
      </c>
      <c r="BW49" s="66">
        <f t="shared" si="1"/>
        <v>0</v>
      </c>
      <c r="BX49" s="66" t="str">
        <f t="shared" si="2"/>
        <v/>
      </c>
      <c r="BY49" s="67"/>
      <c r="BZ49" s="68">
        <v>48</v>
      </c>
      <c r="CA49" s="74" t="s">
        <v>46</v>
      </c>
      <c r="CB49" s="69">
        <f t="shared" si="6"/>
        <v>500656.70592000004</v>
      </c>
      <c r="CC49" s="69">
        <f t="shared" si="7"/>
        <v>115777.1603681081</v>
      </c>
      <c r="CD49" s="70"/>
      <c r="CE49" s="71"/>
      <c r="CF49" s="71"/>
      <c r="CG49" s="71">
        <v>48</v>
      </c>
      <c r="CH49" s="71">
        <f t="shared" si="96"/>
        <v>32670.719786666665</v>
      </c>
      <c r="CI49" s="71">
        <f t="shared" si="96"/>
        <v>74888.79518666667</v>
      </c>
      <c r="CJ49" s="71">
        <f t="shared" si="96"/>
        <v>41390.269999999997</v>
      </c>
      <c r="CK49" s="71">
        <f t="shared" si="96"/>
        <v>18156.531773333336</v>
      </c>
      <c r="CL49" s="71">
        <f t="shared" si="96"/>
        <v>43211.441879999998</v>
      </c>
      <c r="CM49" s="71">
        <f t="shared" si="96"/>
        <v>29028.376026666669</v>
      </c>
      <c r="CN49" s="71">
        <f t="shared" si="96"/>
        <v>24447.852813333331</v>
      </c>
      <c r="CO49" s="71">
        <f t="shared" si="96"/>
        <v>236862.71845333336</v>
      </c>
      <c r="CP49" s="71" t="str">
        <f t="shared" si="96"/>
        <v/>
      </c>
      <c r="CQ49" s="71" t="str">
        <f t="shared" si="96"/>
        <v/>
      </c>
      <c r="CR49" s="71"/>
      <c r="CS49" s="71">
        <v>48</v>
      </c>
      <c r="CT49" s="71">
        <f t="shared" si="97"/>
        <v>8067815.3597022463</v>
      </c>
      <c r="CU49" s="71">
        <f t="shared" si="97"/>
        <v>120861904.39200543</v>
      </c>
      <c r="CV49" s="71">
        <f t="shared" si="97"/>
        <v>9401791.6252928786</v>
      </c>
      <c r="CW49" s="71">
        <f t="shared" si="97"/>
        <v>25692748.348225009</v>
      </c>
      <c r="CX49" s="71">
        <f t="shared" si="97"/>
        <v>28205374.875878628</v>
      </c>
      <c r="CY49" s="71">
        <f t="shared" si="97"/>
        <v>140076644.71075329</v>
      </c>
      <c r="CZ49" s="71">
        <f t="shared" si="97"/>
        <v>29886550.443472266</v>
      </c>
      <c r="DA49" s="71">
        <f t="shared" si="97"/>
        <v>13042158033.147293</v>
      </c>
      <c r="DB49" s="71" t="str">
        <f t="shared" si="97"/>
        <v/>
      </c>
      <c r="DC49" s="72" t="str">
        <f t="shared" si="97"/>
        <v/>
      </c>
    </row>
    <row r="50" spans="1:107" s="97" customFormat="1" x14ac:dyDescent="0.35">
      <c r="A50" s="52">
        <v>92</v>
      </c>
      <c r="B50" s="52">
        <v>49</v>
      </c>
      <c r="C50" s="52">
        <v>8</v>
      </c>
      <c r="D50" s="52">
        <v>1</v>
      </c>
      <c r="E50" s="80" t="s">
        <v>253</v>
      </c>
      <c r="F50" s="55">
        <v>0.21</v>
      </c>
      <c r="G50" s="53">
        <v>43140</v>
      </c>
      <c r="H50" s="76">
        <f t="shared" ref="H50:H60" si="98">(F50*G50)</f>
        <v>9059.4</v>
      </c>
      <c r="I50" s="77">
        <v>17903</v>
      </c>
      <c r="J50" s="58">
        <f t="shared" ref="J50:J60" si="99">PRODUCT(F50,I50)</f>
        <v>3759.6299999999997</v>
      </c>
      <c r="K50" s="57">
        <f>G50</f>
        <v>43140</v>
      </c>
      <c r="L50" s="58">
        <f t="shared" si="11"/>
        <v>9059.4</v>
      </c>
      <c r="M50" s="77">
        <v>36267</v>
      </c>
      <c r="N50" s="58">
        <f t="shared" ref="N50:N60" si="100">SUM(M50)*F50</f>
        <v>7616.07</v>
      </c>
      <c r="O50" s="77">
        <v>32361</v>
      </c>
      <c r="P50" s="58">
        <f t="shared" ref="P50:P60" si="101">SUM(O50)*F50</f>
        <v>6795.8099999999995</v>
      </c>
      <c r="Q50" s="77">
        <v>35412</v>
      </c>
      <c r="R50" s="58">
        <f t="shared" ref="R50:R60" si="102">SUM(Q50)*F50</f>
        <v>7436.5199999999995</v>
      </c>
      <c r="S50" s="77">
        <v>26238</v>
      </c>
      <c r="T50" s="58">
        <f t="shared" ref="T50:T60" si="103">SUM(S50)*F50</f>
        <v>5509.98</v>
      </c>
      <c r="U50" s="57">
        <v>26170</v>
      </c>
      <c r="V50" s="58">
        <f t="shared" ref="V50:V60" si="104">PRODUCT(U50*F50)</f>
        <v>5495.7</v>
      </c>
      <c r="W50" s="77">
        <v>23845</v>
      </c>
      <c r="X50" s="58">
        <f t="shared" ref="X50:X60" si="105">PRODUCT(W50*F50)</f>
        <v>5007.45</v>
      </c>
      <c r="Y50" s="57">
        <v>24326</v>
      </c>
      <c r="Z50" s="58">
        <f t="shared" ref="Z50:Z60" si="106">PRODUCT(Y50*F50)</f>
        <v>5108.46</v>
      </c>
      <c r="AA50" s="57">
        <v>21600</v>
      </c>
      <c r="AB50" s="58">
        <f t="shared" ref="AB50:AB60" si="107">PRODUCT(AA50*F50)</f>
        <v>4536</v>
      </c>
      <c r="AC50" s="57">
        <v>28500</v>
      </c>
      <c r="AD50" s="58">
        <f t="shared" ref="AD50:AD60" si="108">PRODUCT(AC50*F50)</f>
        <v>5985</v>
      </c>
      <c r="AE50" s="57">
        <v>27300</v>
      </c>
      <c r="AF50" s="58">
        <f t="shared" ref="AF50:AF60" si="109">PRODUCT(F50,AE50)</f>
        <v>5733</v>
      </c>
      <c r="AG50" s="57">
        <v>28600</v>
      </c>
      <c r="AH50" s="58">
        <f t="shared" ref="AH50:AH60" si="110">PRODUCT(F50,AG50)</f>
        <v>6006</v>
      </c>
      <c r="AI50" s="61">
        <v>28900</v>
      </c>
      <c r="AJ50" s="58">
        <f t="shared" ref="AJ50:AJ60" si="111">PRODUCT(F50,AI50)</f>
        <v>6069</v>
      </c>
      <c r="AK50" s="61">
        <v>31200</v>
      </c>
      <c r="AL50" s="58">
        <f t="shared" ref="AL50:AL60" si="112">PRODUCT(F50*AK50)</f>
        <v>6552</v>
      </c>
      <c r="AM50" s="61">
        <v>34900</v>
      </c>
      <c r="AN50" s="58">
        <f t="shared" ref="AN50:AN60" si="113">F50*AM50</f>
        <v>7329</v>
      </c>
      <c r="AO50" s="61">
        <v>34150</v>
      </c>
      <c r="AP50" s="58">
        <f t="shared" ref="AP50:AP60" si="114">PRODUCT( F50*AO50)</f>
        <v>7171.5</v>
      </c>
      <c r="AQ50" s="57">
        <v>28825</v>
      </c>
      <c r="AR50" s="58">
        <f t="shared" ref="AR50:AR60" si="115">$F50*AQ50</f>
        <v>6053.25</v>
      </c>
      <c r="AS50" s="57">
        <v>26050</v>
      </c>
      <c r="AT50" s="58">
        <f t="shared" ref="AT50:AT60" si="116">$F50*AS50</f>
        <v>5470.5</v>
      </c>
      <c r="AU50" s="57">
        <v>23218.18</v>
      </c>
      <c r="AV50" s="58">
        <f t="shared" ref="AV50:AV60" si="117">$F50*AU50</f>
        <v>4875.8177999999998</v>
      </c>
      <c r="AW50" s="57">
        <v>19175</v>
      </c>
      <c r="AX50" s="58">
        <f t="shared" ref="AX50:AX60" si="118">$F50*AW50</f>
        <v>4026.75</v>
      </c>
      <c r="AY50" s="57">
        <v>16133.33</v>
      </c>
      <c r="AZ50" s="58">
        <f t="shared" ref="AZ50:AZ60" si="119">$F50*AY50</f>
        <v>3387.9992999999999</v>
      </c>
      <c r="BA50" s="57">
        <v>15158</v>
      </c>
      <c r="BB50" s="58">
        <f t="shared" ref="BB50:BB60" si="120">$F50*BA50</f>
        <v>3183.18</v>
      </c>
      <c r="BC50" s="57">
        <v>13858.333333333299</v>
      </c>
      <c r="BD50" s="58">
        <f t="shared" ref="BD50:BD60" si="121">$F50*BC50</f>
        <v>2910.2499999999927</v>
      </c>
      <c r="BE50" s="57">
        <v>11800</v>
      </c>
      <c r="BF50" s="58">
        <f t="shared" ref="BF50:BF60" si="122">$F50*BE50</f>
        <v>2478</v>
      </c>
      <c r="BG50" s="95">
        <v>13625</v>
      </c>
      <c r="BH50" s="58">
        <f t="shared" ref="BH50:BH60" si="123">$F50*BG50</f>
        <v>2861.25</v>
      </c>
      <c r="BI50" s="57">
        <v>13316.67</v>
      </c>
      <c r="BJ50" s="58">
        <f t="shared" ref="BJ50:BJ60" si="124">$F50*BI50</f>
        <v>2796.5007000000001</v>
      </c>
      <c r="BK50" s="62">
        <f t="shared" ref="BK50:BL55" si="125">I50</f>
        <v>17903</v>
      </c>
      <c r="BL50" s="96">
        <f t="shared" si="125"/>
        <v>3759.6299999999997</v>
      </c>
      <c r="BM50" s="69"/>
      <c r="BN50" s="69"/>
      <c r="BO50" s="78">
        <v>95</v>
      </c>
      <c r="BP50" s="78">
        <v>1</v>
      </c>
      <c r="BQ50" s="78">
        <v>95.01</v>
      </c>
      <c r="BR50" s="34" t="s">
        <v>254</v>
      </c>
      <c r="BS50" s="65" t="s">
        <v>255</v>
      </c>
      <c r="BT50" s="65" t="s">
        <v>256</v>
      </c>
      <c r="BU50" s="37" t="s">
        <v>175</v>
      </c>
      <c r="BV50" s="66">
        <f t="shared" si="5"/>
        <v>2138037.5754012</v>
      </c>
      <c r="BW50" s="66">
        <f t="shared" si="1"/>
        <v>161736.31707095201</v>
      </c>
      <c r="BX50" s="66">
        <f t="shared" si="2"/>
        <v>7.5647088213874074</v>
      </c>
      <c r="BY50" s="67"/>
      <c r="BZ50" s="68">
        <v>49</v>
      </c>
      <c r="CA50" s="74" t="s">
        <v>47</v>
      </c>
      <c r="CB50" s="69">
        <f t="shared" si="6"/>
        <v>0</v>
      </c>
      <c r="CC50" s="69">
        <f t="shared" si="7"/>
        <v>0</v>
      </c>
      <c r="CD50" s="70"/>
      <c r="CE50" s="71"/>
      <c r="CF50" s="71"/>
      <c r="CG50" s="71">
        <v>49</v>
      </c>
      <c r="CH50" s="71" t="str">
        <f t="shared" ref="CH50:CQ65" si="126">IF(LOOKUP($CG50+CH$1/100,$BQ$2:$BQ$76,$BQ$2:$BQ$76)=  $CG50+CH$1/100,             LOOKUP($CG50+CH$1/100,$BQ$2:$BQ$76,$BV$2:$BV$76), "")</f>
        <v/>
      </c>
      <c r="CI50" s="71" t="str">
        <f t="shared" si="126"/>
        <v/>
      </c>
      <c r="CJ50" s="71" t="str">
        <f t="shared" si="126"/>
        <v/>
      </c>
      <c r="CK50" s="71" t="str">
        <f t="shared" si="126"/>
        <v/>
      </c>
      <c r="CL50" s="71" t="str">
        <f t="shared" si="126"/>
        <v/>
      </c>
      <c r="CM50" s="71" t="str">
        <f t="shared" si="126"/>
        <v/>
      </c>
      <c r="CN50" s="71" t="str">
        <f t="shared" si="126"/>
        <v/>
      </c>
      <c r="CO50" s="71" t="str">
        <f t="shared" si="126"/>
        <v/>
      </c>
      <c r="CP50" s="71" t="str">
        <f t="shared" si="126"/>
        <v/>
      </c>
      <c r="CQ50" s="71" t="str">
        <f t="shared" si="126"/>
        <v/>
      </c>
      <c r="CR50" s="71"/>
      <c r="CS50" s="71">
        <v>49</v>
      </c>
      <c r="CT50" s="71" t="str">
        <f t="shared" ref="CT50:DC65" si="127">IF(LOOKUP($CS50+CT$1/100,$BQ$2:$BQ$76,$BQ$2:$BQ$76)=  $CS50+CT$1/100,             LOOKUP($CS50+CT$1/100,$BQ$2:$BQ$76,$BW$2:$BW$76)^2, "")</f>
        <v/>
      </c>
      <c r="CU50" s="71" t="str">
        <f t="shared" si="127"/>
        <v/>
      </c>
      <c r="CV50" s="71" t="str">
        <f t="shared" si="127"/>
        <v/>
      </c>
      <c r="CW50" s="71" t="str">
        <f t="shared" si="127"/>
        <v/>
      </c>
      <c r="CX50" s="71" t="str">
        <f t="shared" si="127"/>
        <v/>
      </c>
      <c r="CY50" s="71" t="str">
        <f t="shared" si="127"/>
        <v/>
      </c>
      <c r="CZ50" s="71" t="str">
        <f t="shared" si="127"/>
        <v/>
      </c>
      <c r="DA50" s="71" t="str">
        <f t="shared" si="127"/>
        <v/>
      </c>
      <c r="DB50" s="71" t="str">
        <f t="shared" si="127"/>
        <v/>
      </c>
      <c r="DC50" s="72" t="str">
        <f t="shared" si="127"/>
        <v/>
      </c>
    </row>
    <row r="51" spans="1:107" s="97" customFormat="1" x14ac:dyDescent="0.35">
      <c r="A51" s="52">
        <v>93</v>
      </c>
      <c r="B51" s="52">
        <v>50</v>
      </c>
      <c r="C51" s="52">
        <v>8</v>
      </c>
      <c r="D51" s="52">
        <v>1</v>
      </c>
      <c r="E51" s="80" t="s">
        <v>257</v>
      </c>
      <c r="F51" s="55">
        <v>0.21</v>
      </c>
      <c r="G51" s="53">
        <v>28630</v>
      </c>
      <c r="H51" s="76">
        <f t="shared" si="98"/>
        <v>6012.3</v>
      </c>
      <c r="I51" s="77">
        <v>11881</v>
      </c>
      <c r="J51" s="58">
        <f t="shared" si="99"/>
        <v>2495.0099999999998</v>
      </c>
      <c r="K51" s="37">
        <v>28630</v>
      </c>
      <c r="L51" s="58">
        <f t="shared" si="11"/>
        <v>6012.3</v>
      </c>
      <c r="M51" s="77">
        <v>24150</v>
      </c>
      <c r="N51" s="58">
        <f t="shared" si="100"/>
        <v>5071.5</v>
      </c>
      <c r="O51" s="77">
        <v>23519</v>
      </c>
      <c r="P51" s="58">
        <f t="shared" si="101"/>
        <v>4938.99</v>
      </c>
      <c r="Q51" s="77">
        <v>25429</v>
      </c>
      <c r="R51" s="58">
        <f t="shared" si="102"/>
        <v>5340.09</v>
      </c>
      <c r="S51" s="77">
        <v>16625</v>
      </c>
      <c r="T51" s="58">
        <f t="shared" si="103"/>
        <v>3491.25</v>
      </c>
      <c r="U51" s="57">
        <v>16107</v>
      </c>
      <c r="V51" s="58">
        <f t="shared" si="104"/>
        <v>3382.47</v>
      </c>
      <c r="W51" s="77">
        <v>16542</v>
      </c>
      <c r="X51" s="58">
        <f t="shared" si="105"/>
        <v>3473.8199999999997</v>
      </c>
      <c r="Y51" s="57">
        <v>18069</v>
      </c>
      <c r="Z51" s="58">
        <f t="shared" si="106"/>
        <v>3794.49</v>
      </c>
      <c r="AA51" s="57">
        <v>16800</v>
      </c>
      <c r="AB51" s="58">
        <f t="shared" si="107"/>
        <v>3528</v>
      </c>
      <c r="AC51" s="57">
        <v>18400</v>
      </c>
      <c r="AD51" s="58">
        <f t="shared" si="108"/>
        <v>3864</v>
      </c>
      <c r="AE51" s="57">
        <v>20100</v>
      </c>
      <c r="AF51" s="58">
        <f t="shared" si="109"/>
        <v>4221</v>
      </c>
      <c r="AG51" s="57">
        <v>21100</v>
      </c>
      <c r="AH51" s="58">
        <f t="shared" si="110"/>
        <v>4431</v>
      </c>
      <c r="AI51" s="61">
        <v>22300</v>
      </c>
      <c r="AJ51" s="58">
        <f t="shared" si="111"/>
        <v>4683</v>
      </c>
      <c r="AK51" s="61">
        <v>18800</v>
      </c>
      <c r="AL51" s="58">
        <f t="shared" si="112"/>
        <v>3948</v>
      </c>
      <c r="AM51" s="61">
        <v>20400</v>
      </c>
      <c r="AN51" s="58">
        <f t="shared" si="113"/>
        <v>4284</v>
      </c>
      <c r="AO51" s="61">
        <v>20883</v>
      </c>
      <c r="AP51" s="58">
        <f t="shared" si="114"/>
        <v>4385.43</v>
      </c>
      <c r="AQ51" s="57">
        <v>14267</v>
      </c>
      <c r="AR51" s="58">
        <f t="shared" si="115"/>
        <v>2996.0699999999997</v>
      </c>
      <c r="AS51" s="57">
        <v>12067</v>
      </c>
      <c r="AT51" s="58">
        <f t="shared" si="116"/>
        <v>2534.0699999999997</v>
      </c>
      <c r="AU51" s="57">
        <v>11336.36</v>
      </c>
      <c r="AV51" s="58">
        <f t="shared" si="117"/>
        <v>2380.6356000000001</v>
      </c>
      <c r="AW51" s="57">
        <v>9908.33</v>
      </c>
      <c r="AX51" s="58">
        <f t="shared" si="118"/>
        <v>2080.7492999999999</v>
      </c>
      <c r="AY51" s="57">
        <v>8275</v>
      </c>
      <c r="AZ51" s="58">
        <f t="shared" si="119"/>
        <v>1737.75</v>
      </c>
      <c r="BA51" s="57">
        <f>(8940+8250)/2</f>
        <v>8595</v>
      </c>
      <c r="BB51" s="58">
        <f t="shared" si="120"/>
        <v>1804.95</v>
      </c>
      <c r="BC51" s="57">
        <v>6591.67</v>
      </c>
      <c r="BD51" s="58">
        <f t="shared" si="121"/>
        <v>1384.2507000000001</v>
      </c>
      <c r="BE51" s="57">
        <v>6558.3333333333303</v>
      </c>
      <c r="BF51" s="58">
        <f t="shared" si="122"/>
        <v>1377.2499999999993</v>
      </c>
      <c r="BG51" s="95">
        <v>8283.3333333333339</v>
      </c>
      <c r="BH51" s="58">
        <f t="shared" si="123"/>
        <v>1739.5</v>
      </c>
      <c r="BI51" s="57">
        <v>7666.67</v>
      </c>
      <c r="BJ51" s="58">
        <f t="shared" si="124"/>
        <v>1610.0007000000001</v>
      </c>
      <c r="BK51" s="62">
        <f t="shared" si="125"/>
        <v>11881</v>
      </c>
      <c r="BL51" s="96">
        <f t="shared" si="125"/>
        <v>2495.0099999999998</v>
      </c>
      <c r="BM51" s="69"/>
      <c r="BN51" s="69"/>
      <c r="BO51" s="78">
        <v>95</v>
      </c>
      <c r="BP51" s="78">
        <v>2</v>
      </c>
      <c r="BQ51" s="78">
        <v>95.02</v>
      </c>
      <c r="BR51" s="34" t="s">
        <v>254</v>
      </c>
      <c r="BS51" s="65" t="s">
        <v>257</v>
      </c>
      <c r="BT51" s="65" t="s">
        <v>258</v>
      </c>
      <c r="BU51" s="37" t="s">
        <v>175</v>
      </c>
      <c r="BV51" s="66">
        <f t="shared" si="5"/>
        <v>1242168.1758456442</v>
      </c>
      <c r="BW51" s="66">
        <f t="shared" si="1"/>
        <v>144717.00274325931</v>
      </c>
      <c r="BX51" s="66">
        <f t="shared" si="2"/>
        <v>11.650355045099973</v>
      </c>
      <c r="BY51" s="67"/>
      <c r="BZ51" s="68">
        <v>50</v>
      </c>
      <c r="CA51" s="74" t="s">
        <v>48</v>
      </c>
      <c r="CB51" s="69">
        <f t="shared" si="6"/>
        <v>0</v>
      </c>
      <c r="CC51" s="69">
        <f t="shared" si="7"/>
        <v>0</v>
      </c>
      <c r="CD51" s="70"/>
      <c r="CE51" s="71"/>
      <c r="CF51" s="71"/>
      <c r="CG51" s="71">
        <v>50</v>
      </c>
      <c r="CH51" s="71" t="str">
        <f t="shared" si="126"/>
        <v/>
      </c>
      <c r="CI51" s="71" t="str">
        <f t="shared" si="126"/>
        <v/>
      </c>
      <c r="CJ51" s="71" t="str">
        <f t="shared" si="126"/>
        <v/>
      </c>
      <c r="CK51" s="71" t="str">
        <f t="shared" si="126"/>
        <v/>
      </c>
      <c r="CL51" s="71" t="str">
        <f t="shared" si="126"/>
        <v/>
      </c>
      <c r="CM51" s="71" t="str">
        <f t="shared" si="126"/>
        <v/>
      </c>
      <c r="CN51" s="71" t="str">
        <f t="shared" si="126"/>
        <v/>
      </c>
      <c r="CO51" s="71" t="str">
        <f t="shared" si="126"/>
        <v/>
      </c>
      <c r="CP51" s="71" t="str">
        <f t="shared" si="126"/>
        <v/>
      </c>
      <c r="CQ51" s="71" t="str">
        <f t="shared" si="126"/>
        <v/>
      </c>
      <c r="CR51" s="71"/>
      <c r="CS51" s="71">
        <v>50</v>
      </c>
      <c r="CT51" s="71" t="str">
        <f t="shared" si="127"/>
        <v/>
      </c>
      <c r="CU51" s="71" t="str">
        <f t="shared" si="127"/>
        <v/>
      </c>
      <c r="CV51" s="71" t="str">
        <f t="shared" si="127"/>
        <v/>
      </c>
      <c r="CW51" s="71" t="str">
        <f t="shared" si="127"/>
        <v/>
      </c>
      <c r="CX51" s="71" t="str">
        <f t="shared" si="127"/>
        <v/>
      </c>
      <c r="CY51" s="71" t="str">
        <f t="shared" si="127"/>
        <v/>
      </c>
      <c r="CZ51" s="71" t="str">
        <f t="shared" si="127"/>
        <v/>
      </c>
      <c r="DA51" s="71" t="str">
        <f t="shared" si="127"/>
        <v/>
      </c>
      <c r="DB51" s="71" t="str">
        <f t="shared" si="127"/>
        <v/>
      </c>
      <c r="DC51" s="72" t="str">
        <f t="shared" si="127"/>
        <v/>
      </c>
    </row>
    <row r="52" spans="1:107" x14ac:dyDescent="0.35">
      <c r="A52" s="52">
        <v>94</v>
      </c>
      <c r="B52" s="52">
        <v>51</v>
      </c>
      <c r="C52" s="52">
        <v>8</v>
      </c>
      <c r="D52" s="52">
        <v>1</v>
      </c>
      <c r="E52" s="80" t="s">
        <v>259</v>
      </c>
      <c r="F52" s="55">
        <v>0.21</v>
      </c>
      <c r="G52" s="53">
        <v>17270</v>
      </c>
      <c r="H52" s="76">
        <f t="shared" si="98"/>
        <v>3626.7</v>
      </c>
      <c r="I52" s="77">
        <v>7167</v>
      </c>
      <c r="J52" s="58">
        <f t="shared" si="99"/>
        <v>1505.07</v>
      </c>
      <c r="K52" s="37">
        <v>17270</v>
      </c>
      <c r="L52" s="58">
        <f t="shared" si="11"/>
        <v>3626.7</v>
      </c>
      <c r="M52" s="77">
        <v>18633</v>
      </c>
      <c r="N52" s="58">
        <f t="shared" si="100"/>
        <v>3912.93</v>
      </c>
      <c r="O52" s="77">
        <v>19667</v>
      </c>
      <c r="P52" s="58">
        <f t="shared" si="101"/>
        <v>4130.07</v>
      </c>
      <c r="Q52" s="77">
        <v>19964</v>
      </c>
      <c r="R52" s="58">
        <f t="shared" si="102"/>
        <v>4192.4399999999996</v>
      </c>
      <c r="S52" s="77">
        <v>16656</v>
      </c>
      <c r="T52" s="58">
        <f t="shared" si="103"/>
        <v>3497.7599999999998</v>
      </c>
      <c r="U52" s="57">
        <v>15290</v>
      </c>
      <c r="V52" s="58">
        <f t="shared" si="104"/>
        <v>3210.9</v>
      </c>
      <c r="W52" s="77">
        <v>16037</v>
      </c>
      <c r="X52" s="58">
        <f t="shared" si="105"/>
        <v>3367.77</v>
      </c>
      <c r="Y52" s="57">
        <v>15320</v>
      </c>
      <c r="Z52" s="58">
        <f t="shared" si="106"/>
        <v>3217.2</v>
      </c>
      <c r="AA52" s="57">
        <v>16100</v>
      </c>
      <c r="AB52" s="58">
        <f t="shared" si="107"/>
        <v>3381</v>
      </c>
      <c r="AC52" s="57">
        <v>17900</v>
      </c>
      <c r="AD52" s="58">
        <f t="shared" si="108"/>
        <v>3759</v>
      </c>
      <c r="AE52" s="57">
        <v>17400</v>
      </c>
      <c r="AF52" s="58">
        <f t="shared" si="109"/>
        <v>3654</v>
      </c>
      <c r="AG52" s="57">
        <v>20000</v>
      </c>
      <c r="AH52" s="58">
        <f t="shared" si="110"/>
        <v>4200</v>
      </c>
      <c r="AI52" s="61">
        <v>17000</v>
      </c>
      <c r="AJ52" s="58">
        <f t="shared" si="111"/>
        <v>3570</v>
      </c>
      <c r="AK52" s="61">
        <v>16300</v>
      </c>
      <c r="AL52" s="58">
        <f t="shared" si="112"/>
        <v>3423</v>
      </c>
      <c r="AM52" s="61">
        <v>17300</v>
      </c>
      <c r="AN52" s="58">
        <f t="shared" si="113"/>
        <v>3633</v>
      </c>
      <c r="AO52" s="61">
        <v>17708</v>
      </c>
      <c r="AP52" s="58">
        <f t="shared" si="114"/>
        <v>3718.68</v>
      </c>
      <c r="AQ52" s="57">
        <v>17633</v>
      </c>
      <c r="AR52" s="58">
        <f t="shared" si="115"/>
        <v>3702.93</v>
      </c>
      <c r="AS52" s="57">
        <v>16583</v>
      </c>
      <c r="AT52" s="58">
        <f t="shared" si="116"/>
        <v>3482.43</v>
      </c>
      <c r="AU52" s="57">
        <v>13354.55</v>
      </c>
      <c r="AV52" s="58">
        <f t="shared" si="117"/>
        <v>2804.4554999999996</v>
      </c>
      <c r="AW52" s="57">
        <v>12016.67</v>
      </c>
      <c r="AX52" s="58">
        <f t="shared" si="118"/>
        <v>2523.5007000000001</v>
      </c>
      <c r="AY52" s="57">
        <v>9733.33</v>
      </c>
      <c r="AZ52" s="58">
        <f t="shared" si="119"/>
        <v>2043.9992999999999</v>
      </c>
      <c r="BA52" s="57">
        <v>11190</v>
      </c>
      <c r="BB52" s="58">
        <f t="shared" si="120"/>
        <v>2349.9</v>
      </c>
      <c r="BC52" s="57">
        <v>10858</v>
      </c>
      <c r="BD52" s="58">
        <f t="shared" si="121"/>
        <v>2280.1799999999998</v>
      </c>
      <c r="BE52" s="57">
        <v>10008.333333333299</v>
      </c>
      <c r="BF52" s="58">
        <f t="shared" si="122"/>
        <v>2101.7499999999927</v>
      </c>
      <c r="BG52" s="95">
        <v>10283.333333333334</v>
      </c>
      <c r="BH52" s="58">
        <f t="shared" si="123"/>
        <v>2159.5</v>
      </c>
      <c r="BI52" s="57">
        <v>10358.33</v>
      </c>
      <c r="BJ52" s="58">
        <f t="shared" si="124"/>
        <v>2175.2492999999999</v>
      </c>
      <c r="BK52" s="62">
        <f t="shared" si="125"/>
        <v>7167</v>
      </c>
      <c r="BL52" s="96">
        <f t="shared" si="125"/>
        <v>1505.07</v>
      </c>
      <c r="BO52" s="78">
        <v>95</v>
      </c>
      <c r="BP52" s="78">
        <v>3</v>
      </c>
      <c r="BQ52" s="78">
        <v>95.03</v>
      </c>
      <c r="BR52" s="34" t="s">
        <v>254</v>
      </c>
      <c r="BS52" s="65" t="s">
        <v>259</v>
      </c>
      <c r="BT52" s="65" t="s">
        <v>260</v>
      </c>
      <c r="BU52" s="37" t="s">
        <v>175</v>
      </c>
      <c r="BV52" s="66">
        <f t="shared" si="5"/>
        <v>1691482.1833765763</v>
      </c>
      <c r="BW52" s="66">
        <f t="shared" si="1"/>
        <v>30509.031031270562</v>
      </c>
      <c r="BX52" s="66">
        <f t="shared" si="2"/>
        <v>1.8036862185782956</v>
      </c>
      <c r="BY52" s="67"/>
      <c r="BZ52" s="68">
        <v>51</v>
      </c>
      <c r="CA52" s="74" t="s">
        <v>49</v>
      </c>
      <c r="CB52" s="69">
        <f t="shared" si="6"/>
        <v>0</v>
      </c>
      <c r="CC52" s="69">
        <f t="shared" si="7"/>
        <v>0</v>
      </c>
      <c r="CD52" s="70"/>
      <c r="CE52" s="71"/>
      <c r="CF52" s="71"/>
      <c r="CG52" s="71">
        <v>51</v>
      </c>
      <c r="CH52" s="71" t="str">
        <f t="shared" si="126"/>
        <v/>
      </c>
      <c r="CI52" s="71" t="str">
        <f t="shared" si="126"/>
        <v/>
      </c>
      <c r="CJ52" s="71" t="str">
        <f t="shared" si="126"/>
        <v/>
      </c>
      <c r="CK52" s="71" t="str">
        <f t="shared" si="126"/>
        <v/>
      </c>
      <c r="CL52" s="71" t="str">
        <f t="shared" si="126"/>
        <v/>
      </c>
      <c r="CM52" s="71" t="str">
        <f t="shared" si="126"/>
        <v/>
      </c>
      <c r="CN52" s="71" t="str">
        <f t="shared" si="126"/>
        <v/>
      </c>
      <c r="CO52" s="71" t="str">
        <f t="shared" si="126"/>
        <v/>
      </c>
      <c r="CP52" s="71" t="str">
        <f t="shared" si="126"/>
        <v/>
      </c>
      <c r="CQ52" s="71" t="str">
        <f t="shared" si="126"/>
        <v/>
      </c>
      <c r="CR52" s="71"/>
      <c r="CS52" s="71">
        <v>51</v>
      </c>
      <c r="CT52" s="71" t="str">
        <f t="shared" si="127"/>
        <v/>
      </c>
      <c r="CU52" s="71" t="str">
        <f t="shared" si="127"/>
        <v/>
      </c>
      <c r="CV52" s="71" t="str">
        <f t="shared" si="127"/>
        <v/>
      </c>
      <c r="CW52" s="71" t="str">
        <f t="shared" si="127"/>
        <v/>
      </c>
      <c r="CX52" s="71" t="str">
        <f t="shared" si="127"/>
        <v/>
      </c>
      <c r="CY52" s="71" t="str">
        <f t="shared" si="127"/>
        <v/>
      </c>
      <c r="CZ52" s="71" t="str">
        <f t="shared" si="127"/>
        <v/>
      </c>
      <c r="DA52" s="71" t="str">
        <f t="shared" si="127"/>
        <v/>
      </c>
      <c r="DB52" s="71" t="str">
        <f t="shared" si="127"/>
        <v/>
      </c>
      <c r="DC52" s="72" t="str">
        <f t="shared" si="127"/>
        <v/>
      </c>
    </row>
    <row r="53" spans="1:107" x14ac:dyDescent="0.35">
      <c r="A53" s="52">
        <v>95</v>
      </c>
      <c r="B53" s="52">
        <v>52</v>
      </c>
      <c r="C53" s="52">
        <v>8</v>
      </c>
      <c r="D53" s="52">
        <v>1</v>
      </c>
      <c r="E53" s="80" t="s">
        <v>261</v>
      </c>
      <c r="F53" s="55">
        <v>0.21</v>
      </c>
      <c r="G53" s="53">
        <v>6860</v>
      </c>
      <c r="H53" s="76">
        <f t="shared" si="98"/>
        <v>1440.6</v>
      </c>
      <c r="I53" s="77">
        <v>2847</v>
      </c>
      <c r="J53" s="58">
        <f t="shared" si="99"/>
        <v>597.87</v>
      </c>
      <c r="K53" s="37">
        <v>6860</v>
      </c>
      <c r="L53" s="58">
        <f t="shared" si="11"/>
        <v>1440.6</v>
      </c>
      <c r="M53" s="77">
        <v>8174</v>
      </c>
      <c r="N53" s="58">
        <f t="shared" si="100"/>
        <v>1716.54</v>
      </c>
      <c r="O53" s="77">
        <v>8829</v>
      </c>
      <c r="P53" s="58">
        <f t="shared" si="101"/>
        <v>1854.09</v>
      </c>
      <c r="Q53" s="77">
        <v>8911</v>
      </c>
      <c r="R53" s="58">
        <f t="shared" si="102"/>
        <v>1871.31</v>
      </c>
      <c r="S53" s="77">
        <v>7069</v>
      </c>
      <c r="T53" s="58">
        <f t="shared" si="103"/>
        <v>1484.49</v>
      </c>
      <c r="U53" s="57">
        <v>7536</v>
      </c>
      <c r="V53" s="58">
        <f t="shared" si="104"/>
        <v>1582.56</v>
      </c>
      <c r="W53" s="77">
        <v>7934</v>
      </c>
      <c r="X53" s="58">
        <f t="shared" si="105"/>
        <v>1666.1399999999999</v>
      </c>
      <c r="Y53" s="57">
        <v>8662</v>
      </c>
      <c r="Z53" s="58">
        <f t="shared" si="106"/>
        <v>1819.02</v>
      </c>
      <c r="AA53" s="57">
        <v>7400</v>
      </c>
      <c r="AB53" s="58">
        <f t="shared" si="107"/>
        <v>1554</v>
      </c>
      <c r="AC53" s="57">
        <v>8700</v>
      </c>
      <c r="AD53" s="58">
        <f t="shared" si="108"/>
        <v>1827</v>
      </c>
      <c r="AE53" s="57">
        <v>8700</v>
      </c>
      <c r="AF53" s="58">
        <f t="shared" si="109"/>
        <v>1827</v>
      </c>
      <c r="AG53" s="57">
        <v>8500</v>
      </c>
      <c r="AH53" s="58">
        <f t="shared" si="110"/>
        <v>1785</v>
      </c>
      <c r="AI53" s="61">
        <v>8400</v>
      </c>
      <c r="AJ53" s="58">
        <f t="shared" si="111"/>
        <v>1764</v>
      </c>
      <c r="AK53" s="61">
        <v>7600</v>
      </c>
      <c r="AL53" s="58">
        <f t="shared" si="112"/>
        <v>1596</v>
      </c>
      <c r="AM53" s="61">
        <v>9000</v>
      </c>
      <c r="AN53" s="58">
        <f t="shared" si="113"/>
        <v>1890</v>
      </c>
      <c r="AO53" s="61">
        <v>9058</v>
      </c>
      <c r="AP53" s="58">
        <f t="shared" si="114"/>
        <v>1902.1799999999998</v>
      </c>
      <c r="AQ53" s="57">
        <v>7917</v>
      </c>
      <c r="AR53" s="58">
        <f t="shared" si="115"/>
        <v>1662.57</v>
      </c>
      <c r="AS53" s="57">
        <v>7550</v>
      </c>
      <c r="AT53" s="58">
        <f t="shared" si="116"/>
        <v>1585.5</v>
      </c>
      <c r="AU53" s="57">
        <v>7054.55</v>
      </c>
      <c r="AV53" s="58">
        <f t="shared" si="117"/>
        <v>1481.4555</v>
      </c>
      <c r="AW53" s="57">
        <v>7241.67</v>
      </c>
      <c r="AX53" s="58">
        <f t="shared" si="118"/>
        <v>1520.7507000000001</v>
      </c>
      <c r="AY53" s="57">
        <v>5558.33</v>
      </c>
      <c r="AZ53" s="58">
        <f t="shared" si="119"/>
        <v>1167.2492999999999</v>
      </c>
      <c r="BA53" s="57">
        <v>4550</v>
      </c>
      <c r="BB53" s="58">
        <f t="shared" si="120"/>
        <v>955.5</v>
      </c>
      <c r="BC53" s="57">
        <v>4091.6666666666702</v>
      </c>
      <c r="BD53" s="58">
        <f t="shared" si="121"/>
        <v>859.25000000000068</v>
      </c>
      <c r="BE53" s="57">
        <v>3708.3333333333298</v>
      </c>
      <c r="BF53" s="58">
        <f t="shared" si="122"/>
        <v>778.7499999999992</v>
      </c>
      <c r="BG53" s="95">
        <v>3741.6666666666665</v>
      </c>
      <c r="BH53" s="58">
        <f t="shared" si="123"/>
        <v>785.74999999999989</v>
      </c>
      <c r="BI53" s="57">
        <v>3966.67</v>
      </c>
      <c r="BJ53" s="58">
        <f t="shared" si="124"/>
        <v>833.00069999999994</v>
      </c>
      <c r="BK53" s="62">
        <f t="shared" si="125"/>
        <v>2847</v>
      </c>
      <c r="BL53" s="96">
        <f t="shared" si="125"/>
        <v>597.87</v>
      </c>
      <c r="BO53" s="78">
        <v>95</v>
      </c>
      <c r="BP53" s="78">
        <v>4</v>
      </c>
      <c r="BQ53" s="78">
        <v>95.04</v>
      </c>
      <c r="BR53" s="34" t="s">
        <v>254</v>
      </c>
      <c r="BS53" s="65" t="s">
        <v>261</v>
      </c>
      <c r="BT53" s="65" t="s">
        <v>256</v>
      </c>
      <c r="BU53" s="37" t="s">
        <v>175</v>
      </c>
      <c r="BV53" s="66">
        <f t="shared" si="5"/>
        <v>630052.07173453318</v>
      </c>
      <c r="BW53" s="66">
        <f t="shared" si="1"/>
        <v>23264.664764890334</v>
      </c>
      <c r="BX53" s="66">
        <f t="shared" si="2"/>
        <v>3.6924987328178638</v>
      </c>
      <c r="BY53" s="67"/>
      <c r="BZ53" s="68">
        <v>52</v>
      </c>
      <c r="CA53" s="74" t="s">
        <v>50</v>
      </c>
      <c r="CB53" s="69">
        <f t="shared" si="6"/>
        <v>157338.21302666666</v>
      </c>
      <c r="CC53" s="69">
        <f t="shared" si="7"/>
        <v>16376.046943704143</v>
      </c>
      <c r="CD53" s="70"/>
      <c r="CE53" s="71"/>
      <c r="CF53" s="71"/>
      <c r="CG53" s="71">
        <v>52</v>
      </c>
      <c r="CH53" s="71">
        <f t="shared" si="126"/>
        <v>8719.5502133333339</v>
      </c>
      <c r="CI53" s="71">
        <f t="shared" si="126"/>
        <v>11478.901546666666</v>
      </c>
      <c r="CJ53" s="71">
        <f t="shared" si="126"/>
        <v>1655.6107999999999</v>
      </c>
      <c r="CK53" s="71">
        <f t="shared" si="126"/>
        <v>13962.317746666666</v>
      </c>
      <c r="CL53" s="71">
        <f t="shared" si="126"/>
        <v>47074.533746666661</v>
      </c>
      <c r="CM53" s="71">
        <f t="shared" si="126"/>
        <v>22516.30688</v>
      </c>
      <c r="CN53" s="71">
        <f t="shared" si="126"/>
        <v>51930.992093333334</v>
      </c>
      <c r="CO53" s="71" t="str">
        <f t="shared" si="126"/>
        <v/>
      </c>
      <c r="CP53" s="71" t="str">
        <f t="shared" si="126"/>
        <v/>
      </c>
      <c r="CQ53" s="71" t="str">
        <f t="shared" si="126"/>
        <v/>
      </c>
      <c r="CR53" s="71"/>
      <c r="CS53" s="71">
        <v>52</v>
      </c>
      <c r="CT53" s="71">
        <f t="shared" si="127"/>
        <v>1982690.7509120945</v>
      </c>
      <c r="CU53" s="71">
        <f t="shared" si="127"/>
        <v>1653765.096382906</v>
      </c>
      <c r="CV53" s="71">
        <f t="shared" si="127"/>
        <v>0</v>
      </c>
      <c r="CW53" s="71">
        <f t="shared" si="127"/>
        <v>16893987.08956904</v>
      </c>
      <c r="CX53" s="71">
        <f t="shared" si="127"/>
        <v>9794675.0459805261</v>
      </c>
      <c r="CY53" s="71">
        <f t="shared" si="127"/>
        <v>109559653.42943333</v>
      </c>
      <c r="CZ53" s="71">
        <f t="shared" si="127"/>
        <v>128290142.09012391</v>
      </c>
      <c r="DA53" s="71" t="str">
        <f t="shared" si="127"/>
        <v/>
      </c>
      <c r="DB53" s="71" t="str">
        <f t="shared" si="127"/>
        <v/>
      </c>
      <c r="DC53" s="72" t="str">
        <f t="shared" si="127"/>
        <v/>
      </c>
    </row>
    <row r="54" spans="1:107" x14ac:dyDescent="0.35">
      <c r="A54" s="52">
        <v>96</v>
      </c>
      <c r="B54" s="52">
        <v>53</v>
      </c>
      <c r="C54" s="52">
        <v>9</v>
      </c>
      <c r="D54" s="52">
        <v>1</v>
      </c>
      <c r="E54" s="80" t="s">
        <v>262</v>
      </c>
      <c r="F54" s="55">
        <v>0.11</v>
      </c>
      <c r="G54" s="53">
        <v>45270</v>
      </c>
      <c r="H54" s="76">
        <f t="shared" si="98"/>
        <v>4979.7</v>
      </c>
      <c r="I54" s="77">
        <v>18787</v>
      </c>
      <c r="J54" s="58">
        <f t="shared" si="99"/>
        <v>2066.5700000000002</v>
      </c>
      <c r="K54" s="37">
        <v>45270</v>
      </c>
      <c r="L54" s="58">
        <f t="shared" si="11"/>
        <v>4979.7</v>
      </c>
      <c r="M54" s="77">
        <v>40845</v>
      </c>
      <c r="N54" s="58">
        <f t="shared" si="100"/>
        <v>4492.95</v>
      </c>
      <c r="O54" s="77">
        <v>33759</v>
      </c>
      <c r="P54" s="58">
        <f t="shared" si="101"/>
        <v>3713.4900000000002</v>
      </c>
      <c r="Q54" s="77">
        <v>32555</v>
      </c>
      <c r="R54" s="58">
        <f t="shared" si="102"/>
        <v>3581.05</v>
      </c>
      <c r="S54" s="77">
        <v>32732</v>
      </c>
      <c r="T54" s="58">
        <f t="shared" si="103"/>
        <v>3600.52</v>
      </c>
      <c r="U54" s="57">
        <v>31552</v>
      </c>
      <c r="V54" s="58">
        <f t="shared" si="104"/>
        <v>3470.72</v>
      </c>
      <c r="W54" s="77">
        <v>34884</v>
      </c>
      <c r="X54" s="58">
        <f t="shared" si="105"/>
        <v>3837.2400000000002</v>
      </c>
      <c r="Y54" s="57">
        <v>34317</v>
      </c>
      <c r="Z54" s="58">
        <f t="shared" si="106"/>
        <v>3774.87</v>
      </c>
      <c r="AA54" s="57">
        <v>33600</v>
      </c>
      <c r="AB54" s="58">
        <f t="shared" si="107"/>
        <v>3696</v>
      </c>
      <c r="AC54" s="57">
        <v>35000</v>
      </c>
      <c r="AD54" s="58">
        <f t="shared" si="108"/>
        <v>3850</v>
      </c>
      <c r="AE54" s="57">
        <v>33800</v>
      </c>
      <c r="AF54" s="58">
        <f t="shared" si="109"/>
        <v>3718</v>
      </c>
      <c r="AG54" s="57">
        <v>35100</v>
      </c>
      <c r="AH54" s="58">
        <f t="shared" si="110"/>
        <v>3861</v>
      </c>
      <c r="AI54" s="61">
        <v>37100</v>
      </c>
      <c r="AJ54" s="58">
        <f t="shared" si="111"/>
        <v>4081</v>
      </c>
      <c r="AK54" s="61">
        <v>36800</v>
      </c>
      <c r="AL54" s="58">
        <f t="shared" si="112"/>
        <v>4048</v>
      </c>
      <c r="AM54" s="61">
        <v>38400</v>
      </c>
      <c r="AN54" s="58">
        <f t="shared" si="113"/>
        <v>4224</v>
      </c>
      <c r="AO54" s="61">
        <v>38633</v>
      </c>
      <c r="AP54" s="58">
        <f t="shared" si="114"/>
        <v>4249.63</v>
      </c>
      <c r="AQ54" s="57">
        <v>32517</v>
      </c>
      <c r="AR54" s="58">
        <f t="shared" si="115"/>
        <v>3576.87</v>
      </c>
      <c r="AS54" s="57">
        <v>35783</v>
      </c>
      <c r="AT54" s="58">
        <f t="shared" si="116"/>
        <v>3936.13</v>
      </c>
      <c r="AU54" s="57">
        <v>29836.36</v>
      </c>
      <c r="AV54" s="58">
        <f t="shared" si="117"/>
        <v>3281.9996000000001</v>
      </c>
      <c r="AW54" s="57">
        <v>35241.67</v>
      </c>
      <c r="AX54" s="58">
        <f t="shared" si="118"/>
        <v>3876.5836999999997</v>
      </c>
      <c r="AY54" s="57">
        <v>31633.33</v>
      </c>
      <c r="AZ54" s="58">
        <f t="shared" si="119"/>
        <v>3479.6663000000003</v>
      </c>
      <c r="BA54" s="57">
        <v>29916</v>
      </c>
      <c r="BB54" s="58">
        <f t="shared" si="120"/>
        <v>3290.76</v>
      </c>
      <c r="BC54" s="57">
        <v>31658.333333333299</v>
      </c>
      <c r="BD54" s="58">
        <f t="shared" si="121"/>
        <v>3482.4166666666629</v>
      </c>
      <c r="BE54" s="57">
        <v>30641.666666666701</v>
      </c>
      <c r="BF54" s="58">
        <f t="shared" si="122"/>
        <v>3370.5833333333371</v>
      </c>
      <c r="BG54" s="95">
        <v>31133.333333333332</v>
      </c>
      <c r="BH54" s="58">
        <f t="shared" si="123"/>
        <v>3424.6666666666665</v>
      </c>
      <c r="BI54" s="57">
        <v>31816.67</v>
      </c>
      <c r="BJ54" s="58">
        <f t="shared" si="124"/>
        <v>3499.8336999999997</v>
      </c>
      <c r="BK54" s="62">
        <f t="shared" si="125"/>
        <v>18787</v>
      </c>
      <c r="BL54" s="96">
        <f t="shared" si="125"/>
        <v>2066.5700000000002</v>
      </c>
      <c r="BO54" s="78">
        <v>95</v>
      </c>
      <c r="BP54" s="78">
        <v>5</v>
      </c>
      <c r="BQ54" s="78">
        <v>95.05</v>
      </c>
      <c r="BR54" s="34" t="s">
        <v>254</v>
      </c>
      <c r="BS54" s="65" t="s">
        <v>262</v>
      </c>
      <c r="BT54" s="65" t="s">
        <v>256</v>
      </c>
      <c r="BU54" s="37" t="s">
        <v>175</v>
      </c>
      <c r="BV54" s="66">
        <f t="shared" si="5"/>
        <v>5165045.9880678682</v>
      </c>
      <c r="BW54" s="66">
        <f t="shared" si="1"/>
        <v>97697.824410217334</v>
      </c>
      <c r="BX54" s="66">
        <f t="shared" si="2"/>
        <v>1.8915189649020718</v>
      </c>
      <c r="BY54" s="67"/>
      <c r="BZ54" s="68">
        <v>53</v>
      </c>
      <c r="CA54" s="74" t="s">
        <v>51</v>
      </c>
      <c r="CB54" s="69">
        <f t="shared" si="6"/>
        <v>0</v>
      </c>
      <c r="CC54" s="69">
        <f t="shared" si="7"/>
        <v>0</v>
      </c>
      <c r="CD54" s="70"/>
      <c r="CE54" s="71"/>
      <c r="CF54" s="71"/>
      <c r="CG54" s="71">
        <v>53</v>
      </c>
      <c r="CH54" s="71" t="str">
        <f t="shared" si="126"/>
        <v/>
      </c>
      <c r="CI54" s="71" t="str">
        <f t="shared" si="126"/>
        <v/>
      </c>
      <c r="CJ54" s="71" t="str">
        <f t="shared" si="126"/>
        <v/>
      </c>
      <c r="CK54" s="71" t="str">
        <f t="shared" si="126"/>
        <v/>
      </c>
      <c r="CL54" s="71" t="str">
        <f t="shared" si="126"/>
        <v/>
      </c>
      <c r="CM54" s="71" t="str">
        <f t="shared" si="126"/>
        <v/>
      </c>
      <c r="CN54" s="71" t="str">
        <f t="shared" si="126"/>
        <v/>
      </c>
      <c r="CO54" s="71" t="str">
        <f t="shared" si="126"/>
        <v/>
      </c>
      <c r="CP54" s="71" t="str">
        <f t="shared" si="126"/>
        <v/>
      </c>
      <c r="CQ54" s="71" t="str">
        <f t="shared" si="126"/>
        <v/>
      </c>
      <c r="CR54" s="71"/>
      <c r="CS54" s="71">
        <v>53</v>
      </c>
      <c r="CT54" s="71" t="str">
        <f t="shared" si="127"/>
        <v/>
      </c>
      <c r="CU54" s="71" t="str">
        <f t="shared" si="127"/>
        <v/>
      </c>
      <c r="CV54" s="71" t="str">
        <f t="shared" si="127"/>
        <v/>
      </c>
      <c r="CW54" s="71" t="str">
        <f t="shared" si="127"/>
        <v/>
      </c>
      <c r="CX54" s="71" t="str">
        <f t="shared" si="127"/>
        <v/>
      </c>
      <c r="CY54" s="71" t="str">
        <f t="shared" si="127"/>
        <v/>
      </c>
      <c r="CZ54" s="71" t="str">
        <f t="shared" si="127"/>
        <v/>
      </c>
      <c r="DA54" s="71" t="str">
        <f t="shared" si="127"/>
        <v/>
      </c>
      <c r="DB54" s="71" t="str">
        <f t="shared" si="127"/>
        <v/>
      </c>
      <c r="DC54" s="72" t="str">
        <f t="shared" si="127"/>
        <v/>
      </c>
    </row>
    <row r="55" spans="1:107" x14ac:dyDescent="0.35">
      <c r="A55" s="52">
        <v>97</v>
      </c>
      <c r="B55" s="52">
        <v>54</v>
      </c>
      <c r="C55" s="52">
        <v>9</v>
      </c>
      <c r="D55" s="52">
        <v>1</v>
      </c>
      <c r="E55" s="80" t="s">
        <v>263</v>
      </c>
      <c r="F55" s="55">
        <v>0.11</v>
      </c>
      <c r="G55" s="53">
        <v>4610</v>
      </c>
      <c r="H55" s="76">
        <f t="shared" si="98"/>
        <v>507.1</v>
      </c>
      <c r="I55" s="77">
        <v>1913</v>
      </c>
      <c r="J55" s="58">
        <f t="shared" si="99"/>
        <v>210.43</v>
      </c>
      <c r="K55" s="37">
        <v>4610</v>
      </c>
      <c r="L55" s="58">
        <f t="shared" si="11"/>
        <v>507.1</v>
      </c>
      <c r="M55" s="77">
        <v>5517</v>
      </c>
      <c r="N55" s="58">
        <f t="shared" si="100"/>
        <v>606.87</v>
      </c>
      <c r="O55" s="77">
        <v>4528</v>
      </c>
      <c r="P55" s="58">
        <f t="shared" si="101"/>
        <v>498.08</v>
      </c>
      <c r="Q55" s="77">
        <v>4380</v>
      </c>
      <c r="R55" s="58">
        <f t="shared" si="102"/>
        <v>481.8</v>
      </c>
      <c r="S55" s="77">
        <v>4498</v>
      </c>
      <c r="T55" s="58">
        <f t="shared" si="103"/>
        <v>494.78000000000003</v>
      </c>
      <c r="U55" s="57">
        <v>3517</v>
      </c>
      <c r="V55" s="58">
        <f t="shared" si="104"/>
        <v>386.87</v>
      </c>
      <c r="W55" s="77">
        <v>3844</v>
      </c>
      <c r="X55" s="58">
        <f t="shared" si="105"/>
        <v>422.84</v>
      </c>
      <c r="Y55" s="57">
        <v>3913</v>
      </c>
      <c r="Z55" s="58">
        <f t="shared" si="106"/>
        <v>430.43</v>
      </c>
      <c r="AA55" s="57">
        <v>4000</v>
      </c>
      <c r="AB55" s="58">
        <f t="shared" si="107"/>
        <v>440</v>
      </c>
      <c r="AC55" s="57">
        <v>4500</v>
      </c>
      <c r="AD55" s="58">
        <f t="shared" si="108"/>
        <v>495</v>
      </c>
      <c r="AE55" s="57">
        <v>3700</v>
      </c>
      <c r="AF55" s="58">
        <f t="shared" si="109"/>
        <v>407</v>
      </c>
      <c r="AG55" s="57">
        <v>4100</v>
      </c>
      <c r="AH55" s="58">
        <f t="shared" si="110"/>
        <v>451</v>
      </c>
      <c r="AI55" s="61">
        <v>3900</v>
      </c>
      <c r="AJ55" s="58">
        <f t="shared" si="111"/>
        <v>429</v>
      </c>
      <c r="AK55" s="61">
        <v>3800</v>
      </c>
      <c r="AL55" s="58">
        <f t="shared" si="112"/>
        <v>418</v>
      </c>
      <c r="AM55" s="61">
        <v>3300</v>
      </c>
      <c r="AN55" s="58">
        <f t="shared" si="113"/>
        <v>363</v>
      </c>
      <c r="AO55" s="61">
        <v>3133</v>
      </c>
      <c r="AP55" s="58">
        <f t="shared" si="114"/>
        <v>344.63</v>
      </c>
      <c r="AQ55" s="57">
        <v>3170</v>
      </c>
      <c r="AR55" s="58">
        <f t="shared" si="115"/>
        <v>348.7</v>
      </c>
      <c r="AS55" s="57">
        <v>3192</v>
      </c>
      <c r="AT55" s="58">
        <f t="shared" si="116"/>
        <v>351.12</v>
      </c>
      <c r="AU55" s="57">
        <v>3118.18</v>
      </c>
      <c r="AV55" s="58">
        <f t="shared" si="117"/>
        <v>342.99979999999999</v>
      </c>
      <c r="AW55" s="57">
        <v>3641.67</v>
      </c>
      <c r="AX55" s="58">
        <f t="shared" si="118"/>
        <v>400.58370000000002</v>
      </c>
      <c r="AY55" s="57">
        <v>5108.33</v>
      </c>
      <c r="AZ55" s="58">
        <f t="shared" si="119"/>
        <v>561.91629999999998</v>
      </c>
      <c r="BA55" s="57">
        <v>3970</v>
      </c>
      <c r="BB55" s="58">
        <f t="shared" si="120"/>
        <v>436.7</v>
      </c>
      <c r="BC55" s="57">
        <v>3916.6666666666702</v>
      </c>
      <c r="BD55" s="58">
        <f t="shared" si="121"/>
        <v>430.83333333333371</v>
      </c>
      <c r="BE55" s="57">
        <v>4108.3333333333303</v>
      </c>
      <c r="BF55" s="58">
        <f t="shared" si="122"/>
        <v>451.91666666666634</v>
      </c>
      <c r="BG55" s="95">
        <v>4516.666666666667</v>
      </c>
      <c r="BH55" s="58">
        <f t="shared" si="123"/>
        <v>496.83333333333337</v>
      </c>
      <c r="BI55" s="57">
        <v>4241.67</v>
      </c>
      <c r="BJ55" s="58">
        <f t="shared" si="124"/>
        <v>466.58370000000002</v>
      </c>
      <c r="BK55" s="62">
        <f t="shared" si="125"/>
        <v>1913</v>
      </c>
      <c r="BL55" s="96">
        <f t="shared" si="125"/>
        <v>210.43</v>
      </c>
      <c r="BO55" s="78">
        <v>95</v>
      </c>
      <c r="BP55" s="78">
        <v>6</v>
      </c>
      <c r="BQ55" s="78">
        <v>95.06</v>
      </c>
      <c r="BR55" s="34" t="s">
        <v>254</v>
      </c>
      <c r="BS55" s="65" t="s">
        <v>263</v>
      </c>
      <c r="BT55" s="65" t="s">
        <v>256</v>
      </c>
      <c r="BU55" s="37" t="s">
        <v>175</v>
      </c>
      <c r="BV55" s="66">
        <f t="shared" si="5"/>
        <v>710073.26040119969</v>
      </c>
      <c r="BW55" s="66">
        <f t="shared" si="1"/>
        <v>34473.428505714408</v>
      </c>
      <c r="BX55" s="66">
        <f t="shared" si="2"/>
        <v>4.8549115180363946</v>
      </c>
      <c r="BY55" s="67"/>
      <c r="BZ55" s="68">
        <v>54</v>
      </c>
      <c r="CA55" s="74" t="s">
        <v>52</v>
      </c>
      <c r="CB55" s="69">
        <f t="shared" si="6"/>
        <v>0</v>
      </c>
      <c r="CC55" s="69">
        <f t="shared" si="7"/>
        <v>0</v>
      </c>
      <c r="CD55" s="70"/>
      <c r="CE55" s="71"/>
      <c r="CF55" s="71"/>
      <c r="CG55" s="71">
        <v>54</v>
      </c>
      <c r="CH55" s="71" t="str">
        <f t="shared" si="126"/>
        <v/>
      </c>
      <c r="CI55" s="71" t="str">
        <f t="shared" si="126"/>
        <v/>
      </c>
      <c r="CJ55" s="71" t="str">
        <f t="shared" si="126"/>
        <v/>
      </c>
      <c r="CK55" s="71" t="str">
        <f t="shared" si="126"/>
        <v/>
      </c>
      <c r="CL55" s="71" t="str">
        <f t="shared" si="126"/>
        <v/>
      </c>
      <c r="CM55" s="71" t="str">
        <f t="shared" si="126"/>
        <v/>
      </c>
      <c r="CN55" s="71" t="str">
        <f t="shared" si="126"/>
        <v/>
      </c>
      <c r="CO55" s="71" t="str">
        <f t="shared" si="126"/>
        <v/>
      </c>
      <c r="CP55" s="71" t="str">
        <f t="shared" si="126"/>
        <v/>
      </c>
      <c r="CQ55" s="71" t="str">
        <f t="shared" si="126"/>
        <v/>
      </c>
      <c r="CR55" s="71"/>
      <c r="CS55" s="71">
        <v>54</v>
      </c>
      <c r="CT55" s="71" t="str">
        <f t="shared" si="127"/>
        <v/>
      </c>
      <c r="CU55" s="71" t="str">
        <f t="shared" si="127"/>
        <v/>
      </c>
      <c r="CV55" s="71" t="str">
        <f t="shared" si="127"/>
        <v/>
      </c>
      <c r="CW55" s="71" t="str">
        <f t="shared" si="127"/>
        <v/>
      </c>
      <c r="CX55" s="71" t="str">
        <f t="shared" si="127"/>
        <v/>
      </c>
      <c r="CY55" s="71" t="str">
        <f t="shared" si="127"/>
        <v/>
      </c>
      <c r="CZ55" s="71" t="str">
        <f t="shared" si="127"/>
        <v/>
      </c>
      <c r="DA55" s="71" t="str">
        <f t="shared" si="127"/>
        <v/>
      </c>
      <c r="DB55" s="71" t="str">
        <f t="shared" si="127"/>
        <v/>
      </c>
      <c r="DC55" s="72" t="str">
        <f t="shared" si="127"/>
        <v/>
      </c>
    </row>
    <row r="56" spans="1:107" x14ac:dyDescent="0.35">
      <c r="A56" s="52">
        <v>98</v>
      </c>
      <c r="B56" s="52">
        <v>55</v>
      </c>
      <c r="C56" s="52">
        <v>10</v>
      </c>
      <c r="D56" s="52">
        <v>1</v>
      </c>
      <c r="E56" s="80" t="s">
        <v>264</v>
      </c>
      <c r="F56" s="55">
        <v>1</v>
      </c>
      <c r="G56" s="53">
        <v>213</v>
      </c>
      <c r="H56" s="76">
        <f t="shared" si="98"/>
        <v>213</v>
      </c>
      <c r="I56" s="77">
        <v>77</v>
      </c>
      <c r="J56" s="58">
        <f t="shared" si="99"/>
        <v>77</v>
      </c>
      <c r="K56" s="37">
        <v>213</v>
      </c>
      <c r="L56" s="58">
        <f t="shared" si="11"/>
        <v>213</v>
      </c>
      <c r="M56" s="77">
        <v>239</v>
      </c>
      <c r="N56" s="58">
        <f t="shared" si="100"/>
        <v>239</v>
      </c>
      <c r="O56" s="77">
        <v>215</v>
      </c>
      <c r="P56" s="58">
        <f t="shared" si="101"/>
        <v>215</v>
      </c>
      <c r="Q56" s="77">
        <v>192</v>
      </c>
      <c r="R56" s="58">
        <f t="shared" si="102"/>
        <v>192</v>
      </c>
      <c r="S56" s="77">
        <v>190</v>
      </c>
      <c r="T56" s="58">
        <f t="shared" si="103"/>
        <v>190</v>
      </c>
      <c r="U56" s="57">
        <v>185</v>
      </c>
      <c r="V56" s="58">
        <f t="shared" si="104"/>
        <v>185</v>
      </c>
      <c r="W56" s="77">
        <v>233</v>
      </c>
      <c r="X56" s="58">
        <f t="shared" si="105"/>
        <v>233</v>
      </c>
      <c r="Y56" s="57">
        <v>226</v>
      </c>
      <c r="Z56" s="58">
        <f t="shared" si="106"/>
        <v>226</v>
      </c>
      <c r="AA56" s="57">
        <v>255</v>
      </c>
      <c r="AB56" s="58">
        <f t="shared" si="107"/>
        <v>255</v>
      </c>
      <c r="AC56" s="57">
        <v>295</v>
      </c>
      <c r="AD56" s="58">
        <f t="shared" si="108"/>
        <v>295</v>
      </c>
      <c r="AE56" s="57">
        <v>269</v>
      </c>
      <c r="AF56" s="58">
        <f t="shared" si="109"/>
        <v>269</v>
      </c>
      <c r="AG56" s="57">
        <v>277</v>
      </c>
      <c r="AH56" s="58">
        <f t="shared" si="110"/>
        <v>277</v>
      </c>
      <c r="AI56" s="61">
        <v>273</v>
      </c>
      <c r="AJ56" s="58">
        <f t="shared" si="111"/>
        <v>273</v>
      </c>
      <c r="AK56" s="61">
        <v>285</v>
      </c>
      <c r="AL56" s="58">
        <f t="shared" si="112"/>
        <v>285</v>
      </c>
      <c r="AM56" s="61">
        <v>274</v>
      </c>
      <c r="AN56" s="58">
        <f t="shared" si="113"/>
        <v>274</v>
      </c>
      <c r="AO56" s="61">
        <v>272</v>
      </c>
      <c r="AP56" s="58">
        <f t="shared" si="114"/>
        <v>272</v>
      </c>
      <c r="AQ56" s="57">
        <v>271</v>
      </c>
      <c r="AR56" s="58">
        <f t="shared" si="115"/>
        <v>271</v>
      </c>
      <c r="AS56" s="57">
        <v>279</v>
      </c>
      <c r="AT56" s="58">
        <f t="shared" si="116"/>
        <v>279</v>
      </c>
      <c r="AU56" s="57">
        <v>193.75</v>
      </c>
      <c r="AV56" s="58">
        <f t="shared" si="117"/>
        <v>193.75</v>
      </c>
      <c r="AW56" s="57">
        <v>85</v>
      </c>
      <c r="AX56" s="58">
        <f t="shared" si="118"/>
        <v>85</v>
      </c>
      <c r="AY56" s="57">
        <v>72.42</v>
      </c>
      <c r="AZ56" s="58">
        <f t="shared" si="119"/>
        <v>72.42</v>
      </c>
      <c r="BA56" s="57">
        <v>85</v>
      </c>
      <c r="BB56" s="58">
        <f t="shared" si="120"/>
        <v>85</v>
      </c>
      <c r="BC56" s="57">
        <v>85.92</v>
      </c>
      <c r="BD56" s="58">
        <f t="shared" si="121"/>
        <v>85.92</v>
      </c>
      <c r="BE56" s="57">
        <v>78.58</v>
      </c>
      <c r="BF56" s="58">
        <f t="shared" si="122"/>
        <v>78.58</v>
      </c>
      <c r="BG56" s="95">
        <v>112.25</v>
      </c>
      <c r="BH56" s="58">
        <f t="shared" si="123"/>
        <v>112.25</v>
      </c>
      <c r="BI56" s="57">
        <v>107.75</v>
      </c>
      <c r="BJ56" s="58">
        <f t="shared" si="124"/>
        <v>107.75</v>
      </c>
      <c r="BK56" s="62">
        <f>I56</f>
        <v>77</v>
      </c>
      <c r="BL56" s="63">
        <v>77</v>
      </c>
      <c r="BO56" s="78">
        <v>96</v>
      </c>
      <c r="BP56" s="78">
        <v>1</v>
      </c>
      <c r="BQ56" s="78">
        <v>96.01</v>
      </c>
      <c r="BR56" s="34" t="s">
        <v>254</v>
      </c>
      <c r="BS56" s="65" t="s">
        <v>264</v>
      </c>
      <c r="BT56" s="65" t="s">
        <v>265</v>
      </c>
      <c r="BU56" s="37" t="s">
        <v>175</v>
      </c>
      <c r="BV56" s="66">
        <f t="shared" si="5"/>
        <v>16477.742422133331</v>
      </c>
      <c r="BW56" s="66">
        <f t="shared" si="1"/>
        <v>3026.3489137082929</v>
      </c>
      <c r="BX56" s="66">
        <f t="shared" si="2"/>
        <v>18.366283658149811</v>
      </c>
      <c r="BY56" s="67"/>
      <c r="BZ56" s="68">
        <v>55</v>
      </c>
      <c r="CA56" s="74" t="s">
        <v>53</v>
      </c>
      <c r="CB56" s="69">
        <f t="shared" si="6"/>
        <v>40452.090546666666</v>
      </c>
      <c r="CC56" s="69">
        <f t="shared" si="7"/>
        <v>4847.6706417993919</v>
      </c>
      <c r="CD56" s="70"/>
      <c r="CE56" s="71"/>
      <c r="CF56" s="71"/>
      <c r="CG56" s="71">
        <v>55</v>
      </c>
      <c r="CH56" s="71">
        <f t="shared" si="126"/>
        <v>40452.090546666666</v>
      </c>
      <c r="CI56" s="71" t="str">
        <f t="shared" si="126"/>
        <v/>
      </c>
      <c r="CJ56" s="71" t="str">
        <f t="shared" si="126"/>
        <v/>
      </c>
      <c r="CK56" s="71" t="str">
        <f t="shared" si="126"/>
        <v/>
      </c>
      <c r="CL56" s="71" t="str">
        <f t="shared" si="126"/>
        <v/>
      </c>
      <c r="CM56" s="71" t="str">
        <f t="shared" si="126"/>
        <v/>
      </c>
      <c r="CN56" s="71" t="str">
        <f t="shared" si="126"/>
        <v/>
      </c>
      <c r="CO56" s="71" t="str">
        <f t="shared" si="126"/>
        <v/>
      </c>
      <c r="CP56" s="71" t="str">
        <f t="shared" si="126"/>
        <v/>
      </c>
      <c r="CQ56" s="71" t="str">
        <f t="shared" si="126"/>
        <v/>
      </c>
      <c r="CR56" s="71"/>
      <c r="CS56" s="71">
        <v>55</v>
      </c>
      <c r="CT56" s="71">
        <f t="shared" si="127"/>
        <v>23499910.651363727</v>
      </c>
      <c r="CU56" s="71" t="str">
        <f t="shared" si="127"/>
        <v/>
      </c>
      <c r="CV56" s="71" t="str">
        <f t="shared" si="127"/>
        <v/>
      </c>
      <c r="CW56" s="71" t="str">
        <f t="shared" si="127"/>
        <v/>
      </c>
      <c r="CX56" s="71" t="str">
        <f t="shared" si="127"/>
        <v/>
      </c>
      <c r="CY56" s="71" t="str">
        <f t="shared" si="127"/>
        <v/>
      </c>
      <c r="CZ56" s="71" t="str">
        <f t="shared" si="127"/>
        <v/>
      </c>
      <c r="DA56" s="71" t="str">
        <f t="shared" si="127"/>
        <v/>
      </c>
      <c r="DB56" s="71" t="str">
        <f t="shared" si="127"/>
        <v/>
      </c>
      <c r="DC56" s="72" t="str">
        <f t="shared" si="127"/>
        <v/>
      </c>
    </row>
    <row r="57" spans="1:107" x14ac:dyDescent="0.35">
      <c r="A57" s="52">
        <v>100</v>
      </c>
      <c r="B57" s="52">
        <v>56</v>
      </c>
      <c r="C57" s="52">
        <v>10</v>
      </c>
      <c r="D57" s="52">
        <v>1</v>
      </c>
      <c r="E57" s="80" t="s">
        <v>266</v>
      </c>
      <c r="F57" s="55">
        <v>1</v>
      </c>
      <c r="G57" s="53">
        <v>457</v>
      </c>
      <c r="H57" s="76">
        <f t="shared" si="98"/>
        <v>457</v>
      </c>
      <c r="I57" s="77">
        <v>165</v>
      </c>
      <c r="J57" s="58">
        <f t="shared" si="99"/>
        <v>165</v>
      </c>
      <c r="K57" s="37">
        <v>457</v>
      </c>
      <c r="L57" s="58">
        <f t="shared" si="11"/>
        <v>457</v>
      </c>
      <c r="M57" s="77">
        <v>469</v>
      </c>
      <c r="N57" s="58">
        <f t="shared" si="100"/>
        <v>469</v>
      </c>
      <c r="O57" s="77">
        <v>449</v>
      </c>
      <c r="P57" s="58">
        <f t="shared" si="101"/>
        <v>449</v>
      </c>
      <c r="Q57" s="77">
        <v>420</v>
      </c>
      <c r="R57" s="58">
        <f t="shared" si="102"/>
        <v>420</v>
      </c>
      <c r="S57" s="77">
        <v>400</v>
      </c>
      <c r="T57" s="58">
        <f t="shared" si="103"/>
        <v>400</v>
      </c>
      <c r="U57" s="57">
        <v>431</v>
      </c>
      <c r="V57" s="58">
        <f t="shared" si="104"/>
        <v>431</v>
      </c>
      <c r="W57" s="77">
        <v>467</v>
      </c>
      <c r="X57" s="58">
        <f t="shared" si="105"/>
        <v>467</v>
      </c>
      <c r="Y57" s="57">
        <v>470</v>
      </c>
      <c r="Z57" s="58">
        <f t="shared" si="106"/>
        <v>470</v>
      </c>
      <c r="AA57" s="57">
        <v>436</v>
      </c>
      <c r="AB57" s="58">
        <f t="shared" si="107"/>
        <v>436</v>
      </c>
      <c r="AC57" s="57">
        <v>454</v>
      </c>
      <c r="AD57" s="58">
        <f t="shared" si="108"/>
        <v>454</v>
      </c>
      <c r="AE57" s="57">
        <v>459</v>
      </c>
      <c r="AF57" s="58">
        <f t="shared" si="109"/>
        <v>459</v>
      </c>
      <c r="AG57" s="57">
        <v>461</v>
      </c>
      <c r="AH57" s="58">
        <f t="shared" si="110"/>
        <v>461</v>
      </c>
      <c r="AI57" s="61">
        <v>500</v>
      </c>
      <c r="AJ57" s="58">
        <f t="shared" si="111"/>
        <v>500</v>
      </c>
      <c r="AK57" s="61">
        <v>477</v>
      </c>
      <c r="AL57" s="58">
        <f t="shared" si="112"/>
        <v>477</v>
      </c>
      <c r="AM57" s="61">
        <v>468</v>
      </c>
      <c r="AN57" s="58">
        <f t="shared" si="113"/>
        <v>468</v>
      </c>
      <c r="AO57" s="61">
        <v>437</v>
      </c>
      <c r="AP57" s="58">
        <f t="shared" si="114"/>
        <v>437</v>
      </c>
      <c r="AQ57" s="57">
        <v>530</v>
      </c>
      <c r="AR57" s="58">
        <f t="shared" si="115"/>
        <v>530</v>
      </c>
      <c r="AS57" s="57">
        <v>510</v>
      </c>
      <c r="AT57" s="58">
        <f t="shared" si="116"/>
        <v>510</v>
      </c>
      <c r="AU57" s="57">
        <v>531.58000000000004</v>
      </c>
      <c r="AV57" s="58">
        <f t="shared" si="117"/>
        <v>531.58000000000004</v>
      </c>
      <c r="AW57" s="57">
        <v>414.25</v>
      </c>
      <c r="AX57" s="58">
        <f t="shared" si="118"/>
        <v>414.25</v>
      </c>
      <c r="AY57" s="57">
        <v>208</v>
      </c>
      <c r="AZ57" s="58">
        <f t="shared" si="119"/>
        <v>208</v>
      </c>
      <c r="BA57" s="57">
        <v>221</v>
      </c>
      <c r="BB57" s="58">
        <f t="shared" si="120"/>
        <v>221</v>
      </c>
      <c r="BC57" s="57">
        <v>193.83</v>
      </c>
      <c r="BD57" s="58">
        <f t="shared" si="121"/>
        <v>193.83</v>
      </c>
      <c r="BE57" s="57">
        <v>152.58000000000001</v>
      </c>
      <c r="BF57" s="58">
        <f t="shared" si="122"/>
        <v>152.58000000000001</v>
      </c>
      <c r="BG57" s="95">
        <v>130.16666666666666</v>
      </c>
      <c r="BH57" s="58">
        <f t="shared" si="123"/>
        <v>130.16666666666666</v>
      </c>
      <c r="BI57" s="57">
        <v>148.41999999999999</v>
      </c>
      <c r="BJ57" s="58">
        <f t="shared" si="124"/>
        <v>148.41999999999999</v>
      </c>
      <c r="BK57" s="62">
        <f>I57</f>
        <v>165</v>
      </c>
      <c r="BL57" s="63">
        <v>165</v>
      </c>
      <c r="BO57" s="78">
        <v>97</v>
      </c>
      <c r="BP57" s="78">
        <v>1</v>
      </c>
      <c r="BQ57" s="78">
        <v>97.01</v>
      </c>
      <c r="BR57" s="34" t="s">
        <v>254</v>
      </c>
      <c r="BS57" s="65" t="s">
        <v>267</v>
      </c>
      <c r="BT57" s="65" t="s">
        <v>268</v>
      </c>
      <c r="BU57" s="37" t="s">
        <v>175</v>
      </c>
      <c r="BV57" s="66">
        <f t="shared" si="5"/>
        <v>23794.806331111107</v>
      </c>
      <c r="BW57" s="66">
        <f t="shared" si="1"/>
        <v>1973.8687080312225</v>
      </c>
      <c r="BX57" s="66">
        <f t="shared" si="2"/>
        <v>8.2953762285950567</v>
      </c>
      <c r="BY57" s="67"/>
      <c r="BZ57" s="68">
        <v>56</v>
      </c>
      <c r="CA57" s="74" t="s">
        <v>54</v>
      </c>
      <c r="CB57" s="69">
        <f t="shared" si="6"/>
        <v>256895.60913333332</v>
      </c>
      <c r="CC57" s="69">
        <f t="shared" si="7"/>
        <v>42720.3197613007</v>
      </c>
      <c r="CD57" s="70"/>
      <c r="CE57" s="71"/>
      <c r="CF57" s="71"/>
      <c r="CG57" s="71">
        <v>56</v>
      </c>
      <c r="CH57" s="71">
        <f>IF(LOOKUP($CG57+CH$1/100,$BQ$2:$BQ$76,$BQ$2:$BQ$76)=  $CG57+CH$1/100,             LOOKUP($CG57+CH$1/100,$BQ$2:$BQ$76,$BV$2:$BV$76), "")</f>
        <v>256895.60913333332</v>
      </c>
      <c r="CI57" s="71" t="str">
        <f t="shared" si="126"/>
        <v/>
      </c>
      <c r="CJ57" s="71" t="str">
        <f t="shared" si="126"/>
        <v/>
      </c>
      <c r="CK57" s="71" t="str">
        <f t="shared" si="126"/>
        <v/>
      </c>
      <c r="CL57" s="71" t="str">
        <f t="shared" si="126"/>
        <v/>
      </c>
      <c r="CM57" s="71" t="str">
        <f t="shared" si="126"/>
        <v/>
      </c>
      <c r="CN57" s="71" t="str">
        <f t="shared" si="126"/>
        <v/>
      </c>
      <c r="CO57" s="71" t="str">
        <f t="shared" si="126"/>
        <v/>
      </c>
      <c r="CP57" s="71" t="str">
        <f t="shared" si="126"/>
        <v/>
      </c>
      <c r="CQ57" s="71" t="str">
        <f t="shared" si="126"/>
        <v/>
      </c>
      <c r="CR57" s="71"/>
      <c r="CS57" s="71">
        <v>56</v>
      </c>
      <c r="CT57" s="71">
        <f t="shared" si="127"/>
        <v>1825025720.5077791</v>
      </c>
      <c r="CU57" s="71" t="str">
        <f t="shared" si="127"/>
        <v/>
      </c>
      <c r="CV57" s="71" t="str">
        <f t="shared" si="127"/>
        <v/>
      </c>
      <c r="CW57" s="71" t="str">
        <f t="shared" si="127"/>
        <v/>
      </c>
      <c r="CX57" s="71" t="str">
        <f t="shared" si="127"/>
        <v/>
      </c>
      <c r="CY57" s="71" t="str">
        <f t="shared" si="127"/>
        <v/>
      </c>
      <c r="CZ57" s="71" t="str">
        <f t="shared" si="127"/>
        <v/>
      </c>
      <c r="DA57" s="71" t="str">
        <f t="shared" si="127"/>
        <v/>
      </c>
      <c r="DB57" s="71" t="str">
        <f t="shared" si="127"/>
        <v/>
      </c>
      <c r="DC57" s="72" t="str">
        <f t="shared" si="127"/>
        <v/>
      </c>
    </row>
    <row r="58" spans="1:107" x14ac:dyDescent="0.35">
      <c r="A58" s="52">
        <v>101</v>
      </c>
      <c r="B58" s="52">
        <v>57</v>
      </c>
      <c r="C58" s="52">
        <v>10</v>
      </c>
      <c r="D58" s="52">
        <v>1</v>
      </c>
      <c r="E58" s="80" t="s">
        <v>269</v>
      </c>
      <c r="F58" s="55">
        <v>1</v>
      </c>
      <c r="G58" s="53">
        <v>212</v>
      </c>
      <c r="H58" s="76">
        <f t="shared" si="98"/>
        <v>212</v>
      </c>
      <c r="I58" s="77">
        <v>77</v>
      </c>
      <c r="J58" s="58">
        <f t="shared" si="99"/>
        <v>77</v>
      </c>
      <c r="K58" s="37">
        <v>212</v>
      </c>
      <c r="L58" s="58">
        <f t="shared" si="11"/>
        <v>212</v>
      </c>
      <c r="M58" s="77">
        <v>250</v>
      </c>
      <c r="N58" s="58">
        <f t="shared" si="100"/>
        <v>250</v>
      </c>
      <c r="O58" s="77">
        <v>226</v>
      </c>
      <c r="P58" s="58">
        <f t="shared" si="101"/>
        <v>226</v>
      </c>
      <c r="Q58" s="77">
        <v>213</v>
      </c>
      <c r="R58" s="58">
        <f t="shared" si="102"/>
        <v>213</v>
      </c>
      <c r="S58" s="77">
        <v>211</v>
      </c>
      <c r="T58" s="58">
        <f t="shared" si="103"/>
        <v>211</v>
      </c>
      <c r="U58" s="57">
        <v>212</v>
      </c>
      <c r="V58" s="58">
        <f t="shared" si="104"/>
        <v>212</v>
      </c>
      <c r="W58" s="77">
        <v>235</v>
      </c>
      <c r="X58" s="58">
        <f t="shared" si="105"/>
        <v>235</v>
      </c>
      <c r="Y58" s="57">
        <v>252</v>
      </c>
      <c r="Z58" s="58">
        <f t="shared" si="106"/>
        <v>252</v>
      </c>
      <c r="AA58" s="57">
        <v>260</v>
      </c>
      <c r="AB58" s="58">
        <f t="shared" si="107"/>
        <v>260</v>
      </c>
      <c r="AC58" s="57">
        <v>242</v>
      </c>
      <c r="AD58" s="58">
        <f t="shared" si="108"/>
        <v>242</v>
      </c>
      <c r="AE58" s="57">
        <v>249</v>
      </c>
      <c r="AF58" s="58">
        <f t="shared" si="109"/>
        <v>249</v>
      </c>
      <c r="AG58" s="57">
        <v>228</v>
      </c>
      <c r="AH58" s="58">
        <f t="shared" si="110"/>
        <v>228</v>
      </c>
      <c r="AI58" s="61">
        <v>253</v>
      </c>
      <c r="AJ58" s="58">
        <f t="shared" si="111"/>
        <v>253</v>
      </c>
      <c r="AK58" s="61">
        <v>257</v>
      </c>
      <c r="AL58" s="58">
        <f t="shared" si="112"/>
        <v>257</v>
      </c>
      <c r="AM58" s="61">
        <v>280</v>
      </c>
      <c r="AN58" s="58">
        <f t="shared" si="113"/>
        <v>280</v>
      </c>
      <c r="AO58" s="61">
        <v>261</v>
      </c>
      <c r="AP58" s="58">
        <f t="shared" si="114"/>
        <v>261</v>
      </c>
      <c r="AQ58" s="57">
        <v>262</v>
      </c>
      <c r="AR58" s="58">
        <f t="shared" si="115"/>
        <v>262</v>
      </c>
      <c r="AS58" s="57">
        <v>258</v>
      </c>
      <c r="AT58" s="58">
        <f t="shared" si="116"/>
        <v>258</v>
      </c>
      <c r="AU58" s="57">
        <v>258.64</v>
      </c>
      <c r="AV58" s="58">
        <f t="shared" si="117"/>
        <v>258.64</v>
      </c>
      <c r="AW58" s="57">
        <v>257.55</v>
      </c>
      <c r="AX58" s="58">
        <f t="shared" si="118"/>
        <v>257.55</v>
      </c>
      <c r="AY58" s="57">
        <v>0</v>
      </c>
      <c r="AZ58" s="58">
        <f t="shared" si="119"/>
        <v>0</v>
      </c>
      <c r="BA58" s="57">
        <v>0</v>
      </c>
      <c r="BB58" s="58">
        <f t="shared" si="120"/>
        <v>0</v>
      </c>
      <c r="BC58" s="57">
        <v>0</v>
      </c>
      <c r="BD58" s="58">
        <f t="shared" si="121"/>
        <v>0</v>
      </c>
      <c r="BE58" s="57">
        <v>0</v>
      </c>
      <c r="BF58" s="58">
        <f t="shared" si="122"/>
        <v>0</v>
      </c>
      <c r="BG58" s="95">
        <v>0</v>
      </c>
      <c r="BH58" s="58">
        <f t="shared" si="123"/>
        <v>0</v>
      </c>
      <c r="BJ58" s="58">
        <f t="shared" si="124"/>
        <v>0</v>
      </c>
      <c r="BK58" s="62">
        <f>I58</f>
        <v>77</v>
      </c>
      <c r="BL58" s="63">
        <v>77</v>
      </c>
      <c r="BO58" s="78">
        <v>97</v>
      </c>
      <c r="BP58" s="78">
        <v>2</v>
      </c>
      <c r="BQ58" s="78">
        <v>97.02</v>
      </c>
      <c r="BR58" s="34" t="s">
        <v>254</v>
      </c>
      <c r="BS58" s="65" t="s">
        <v>269</v>
      </c>
      <c r="BT58" s="65" t="s">
        <v>268</v>
      </c>
      <c r="BU58" s="37" t="s">
        <v>175</v>
      </c>
      <c r="BV58" s="66">
        <f t="shared" si="5"/>
        <v>0</v>
      </c>
      <c r="BW58" s="66">
        <f t="shared" si="1"/>
        <v>0</v>
      </c>
      <c r="BX58" s="66" t="str">
        <f t="shared" si="2"/>
        <v/>
      </c>
      <c r="BY58" s="67"/>
      <c r="BZ58" s="68">
        <v>57</v>
      </c>
      <c r="CA58" s="74" t="s">
        <v>55</v>
      </c>
      <c r="CB58" s="69">
        <f t="shared" si="6"/>
        <v>0</v>
      </c>
      <c r="CC58" s="69">
        <f t="shared" si="7"/>
        <v>0</v>
      </c>
      <c r="CD58" s="70"/>
      <c r="CE58" s="71"/>
      <c r="CF58" s="71"/>
      <c r="CG58" s="71">
        <v>57</v>
      </c>
      <c r="CH58" s="71" t="str">
        <f t="shared" si="126"/>
        <v/>
      </c>
      <c r="CI58" s="71" t="str">
        <f t="shared" si="126"/>
        <v/>
      </c>
      <c r="CJ58" s="71" t="str">
        <f t="shared" si="126"/>
        <v/>
      </c>
      <c r="CK58" s="71" t="str">
        <f t="shared" si="126"/>
        <v/>
      </c>
      <c r="CL58" s="71" t="str">
        <f t="shared" si="126"/>
        <v/>
      </c>
      <c r="CM58" s="71" t="str">
        <f t="shared" si="126"/>
        <v/>
      </c>
      <c r="CN58" s="71" t="str">
        <f t="shared" si="126"/>
        <v/>
      </c>
      <c r="CO58" s="71" t="str">
        <f t="shared" si="126"/>
        <v/>
      </c>
      <c r="CP58" s="71" t="str">
        <f t="shared" si="126"/>
        <v/>
      </c>
      <c r="CQ58" s="71" t="str">
        <f t="shared" si="126"/>
        <v/>
      </c>
      <c r="CR58" s="71"/>
      <c r="CS58" s="71">
        <v>57</v>
      </c>
      <c r="CT58" s="71" t="str">
        <f t="shared" si="127"/>
        <v/>
      </c>
      <c r="CU58" s="71" t="str">
        <f t="shared" si="127"/>
        <v/>
      </c>
      <c r="CV58" s="71" t="str">
        <f t="shared" si="127"/>
        <v/>
      </c>
      <c r="CW58" s="71" t="str">
        <f t="shared" si="127"/>
        <v/>
      </c>
      <c r="CX58" s="71" t="str">
        <f t="shared" si="127"/>
        <v/>
      </c>
      <c r="CY58" s="71" t="str">
        <f t="shared" si="127"/>
        <v/>
      </c>
      <c r="CZ58" s="71" t="str">
        <f t="shared" si="127"/>
        <v/>
      </c>
      <c r="DA58" s="71" t="str">
        <f t="shared" si="127"/>
        <v/>
      </c>
      <c r="DB58" s="71" t="str">
        <f t="shared" si="127"/>
        <v/>
      </c>
      <c r="DC58" s="72" t="str">
        <f t="shared" si="127"/>
        <v/>
      </c>
    </row>
    <row r="59" spans="1:107" x14ac:dyDescent="0.35">
      <c r="A59" s="52">
        <v>103</v>
      </c>
      <c r="B59" s="52">
        <v>58</v>
      </c>
      <c r="C59" s="52">
        <v>10</v>
      </c>
      <c r="D59" s="52">
        <v>1</v>
      </c>
      <c r="E59" s="98" t="s">
        <v>270</v>
      </c>
      <c r="F59" s="55">
        <v>1</v>
      </c>
      <c r="G59" s="53">
        <v>655</v>
      </c>
      <c r="H59" s="76">
        <f t="shared" si="98"/>
        <v>655</v>
      </c>
      <c r="I59" s="77">
        <v>237</v>
      </c>
      <c r="J59" s="58">
        <f t="shared" si="99"/>
        <v>237</v>
      </c>
      <c r="K59" s="37">
        <v>655</v>
      </c>
      <c r="L59" s="58">
        <f t="shared" si="11"/>
        <v>655</v>
      </c>
      <c r="M59" s="77">
        <v>504</v>
      </c>
      <c r="N59" s="58">
        <f t="shared" si="100"/>
        <v>504</v>
      </c>
      <c r="O59" s="77">
        <v>575</v>
      </c>
      <c r="P59" s="58">
        <f t="shared" si="101"/>
        <v>575</v>
      </c>
      <c r="Q59" s="77">
        <v>595</v>
      </c>
      <c r="R59" s="58">
        <f t="shared" si="102"/>
        <v>595</v>
      </c>
      <c r="S59" s="77">
        <v>563</v>
      </c>
      <c r="T59" s="58">
        <f t="shared" si="103"/>
        <v>563</v>
      </c>
      <c r="U59" s="57">
        <v>536</v>
      </c>
      <c r="V59" s="58">
        <f t="shared" si="104"/>
        <v>536</v>
      </c>
      <c r="W59" s="77">
        <v>469</v>
      </c>
      <c r="X59" s="58">
        <f t="shared" si="105"/>
        <v>469</v>
      </c>
      <c r="Y59" s="57">
        <v>502</v>
      </c>
      <c r="Z59" s="58">
        <f t="shared" si="106"/>
        <v>502</v>
      </c>
      <c r="AA59" s="57">
        <v>411</v>
      </c>
      <c r="AB59" s="58">
        <f t="shared" si="107"/>
        <v>411</v>
      </c>
      <c r="AC59" s="57">
        <v>444</v>
      </c>
      <c r="AD59" s="58">
        <f t="shared" si="108"/>
        <v>444</v>
      </c>
      <c r="AE59" s="57">
        <v>430</v>
      </c>
      <c r="AF59" s="58">
        <f t="shared" si="109"/>
        <v>430</v>
      </c>
      <c r="AG59" s="57">
        <v>438</v>
      </c>
      <c r="AH59" s="58">
        <f t="shared" si="110"/>
        <v>438</v>
      </c>
      <c r="AI59" s="61">
        <v>442</v>
      </c>
      <c r="AJ59" s="58">
        <f t="shared" si="111"/>
        <v>442</v>
      </c>
      <c r="AK59" s="61">
        <v>483</v>
      </c>
      <c r="AL59" s="58">
        <f t="shared" si="112"/>
        <v>483</v>
      </c>
      <c r="AM59" s="61">
        <v>467</v>
      </c>
      <c r="AN59" s="58">
        <f t="shared" si="113"/>
        <v>467</v>
      </c>
      <c r="AO59" s="61">
        <v>486</v>
      </c>
      <c r="AP59" s="58">
        <f t="shared" si="114"/>
        <v>486</v>
      </c>
      <c r="AQ59" s="57">
        <v>354</v>
      </c>
      <c r="AR59" s="58">
        <f t="shared" si="115"/>
        <v>354</v>
      </c>
      <c r="AS59" s="57">
        <v>211</v>
      </c>
      <c r="AT59" s="58">
        <f t="shared" si="116"/>
        <v>211</v>
      </c>
      <c r="AU59" s="57">
        <v>155.78</v>
      </c>
      <c r="AV59" s="58">
        <f t="shared" si="117"/>
        <v>155.78</v>
      </c>
      <c r="AW59" s="57">
        <v>146.19999999999999</v>
      </c>
      <c r="AX59" s="58">
        <f t="shared" si="118"/>
        <v>146.19999999999999</v>
      </c>
      <c r="AY59" s="57">
        <v>138.08000000000001</v>
      </c>
      <c r="AZ59" s="58">
        <f t="shared" si="119"/>
        <v>138.08000000000001</v>
      </c>
      <c r="BA59" s="57">
        <v>174</v>
      </c>
      <c r="BB59" s="58">
        <f t="shared" si="120"/>
        <v>174</v>
      </c>
      <c r="BC59" s="57">
        <v>139.083333333333</v>
      </c>
      <c r="BD59" s="58">
        <f t="shared" si="121"/>
        <v>139.083333333333</v>
      </c>
      <c r="BE59" s="57">
        <v>132.25</v>
      </c>
      <c r="BF59" s="58">
        <f t="shared" si="122"/>
        <v>132.25</v>
      </c>
      <c r="BG59" s="95">
        <v>185.33333333333334</v>
      </c>
      <c r="BH59" s="58">
        <f t="shared" si="123"/>
        <v>185.33333333333334</v>
      </c>
      <c r="BI59" s="57">
        <v>148.91999999999999</v>
      </c>
      <c r="BJ59" s="58">
        <f t="shared" si="124"/>
        <v>148.91999999999999</v>
      </c>
      <c r="BK59" s="62">
        <f>I59</f>
        <v>237</v>
      </c>
      <c r="BL59" s="63">
        <v>237</v>
      </c>
      <c r="BO59" s="78">
        <v>97</v>
      </c>
      <c r="BP59" s="78">
        <v>3</v>
      </c>
      <c r="BQ59" s="78">
        <v>97.03</v>
      </c>
      <c r="BR59" s="34" t="s">
        <v>254</v>
      </c>
      <c r="BS59" s="65" t="s">
        <v>270</v>
      </c>
      <c r="BT59" s="65" t="s">
        <v>268</v>
      </c>
      <c r="BU59" s="37" t="s">
        <v>175</v>
      </c>
      <c r="BV59" s="66">
        <f t="shared" si="5"/>
        <v>25744.931896755555</v>
      </c>
      <c r="BW59" s="66">
        <f t="shared" si="1"/>
        <v>4494.4370196744194</v>
      </c>
      <c r="BX59" s="66">
        <f t="shared" si="2"/>
        <v>17.457560337305924</v>
      </c>
      <c r="BY59" s="67"/>
      <c r="BZ59" s="68">
        <v>58</v>
      </c>
      <c r="CA59" s="74" t="s">
        <v>56</v>
      </c>
      <c r="CB59" s="69">
        <f t="shared" si="6"/>
        <v>0</v>
      </c>
      <c r="CC59" s="69">
        <f t="shared" si="7"/>
        <v>0</v>
      </c>
      <c r="CD59" s="70"/>
      <c r="CE59" s="71"/>
      <c r="CF59" s="71"/>
      <c r="CG59" s="71">
        <v>58</v>
      </c>
      <c r="CH59" s="71" t="str">
        <f t="shared" si="126"/>
        <v/>
      </c>
      <c r="CI59" s="71" t="str">
        <f t="shared" si="126"/>
        <v/>
      </c>
      <c r="CJ59" s="71" t="str">
        <f t="shared" si="126"/>
        <v/>
      </c>
      <c r="CK59" s="71" t="str">
        <f t="shared" si="126"/>
        <v/>
      </c>
      <c r="CL59" s="71" t="str">
        <f t="shared" si="126"/>
        <v/>
      </c>
      <c r="CM59" s="71" t="str">
        <f t="shared" si="126"/>
        <v/>
      </c>
      <c r="CN59" s="71" t="str">
        <f t="shared" si="126"/>
        <v/>
      </c>
      <c r="CO59" s="71" t="str">
        <f t="shared" si="126"/>
        <v/>
      </c>
      <c r="CP59" s="71" t="str">
        <f t="shared" si="126"/>
        <v/>
      </c>
      <c r="CQ59" s="71" t="str">
        <f t="shared" si="126"/>
        <v/>
      </c>
      <c r="CR59" s="71"/>
      <c r="CS59" s="71">
        <v>58</v>
      </c>
      <c r="CT59" s="71" t="str">
        <f t="shared" si="127"/>
        <v/>
      </c>
      <c r="CU59" s="71" t="str">
        <f t="shared" si="127"/>
        <v/>
      </c>
      <c r="CV59" s="71" t="str">
        <f t="shared" si="127"/>
        <v/>
      </c>
      <c r="CW59" s="71" t="str">
        <f t="shared" si="127"/>
        <v/>
      </c>
      <c r="CX59" s="71" t="str">
        <f t="shared" si="127"/>
        <v/>
      </c>
      <c r="CY59" s="71" t="str">
        <f t="shared" si="127"/>
        <v/>
      </c>
      <c r="CZ59" s="71" t="str">
        <f t="shared" si="127"/>
        <v/>
      </c>
      <c r="DA59" s="71" t="str">
        <f t="shared" si="127"/>
        <v/>
      </c>
      <c r="DB59" s="71" t="str">
        <f t="shared" si="127"/>
        <v/>
      </c>
      <c r="DC59" s="72" t="str">
        <f t="shared" si="127"/>
        <v/>
      </c>
    </row>
    <row r="60" spans="1:107" s="97" customFormat="1" x14ac:dyDescent="0.35">
      <c r="A60" s="52">
        <v>99</v>
      </c>
      <c r="B60" s="52">
        <v>59</v>
      </c>
      <c r="C60" s="52">
        <v>10</v>
      </c>
      <c r="D60" s="52">
        <v>1</v>
      </c>
      <c r="E60" s="98" t="s">
        <v>271</v>
      </c>
      <c r="F60" s="55">
        <v>1</v>
      </c>
      <c r="G60" s="53">
        <v>893</v>
      </c>
      <c r="H60" s="76">
        <f t="shared" si="98"/>
        <v>893</v>
      </c>
      <c r="I60" s="77">
        <v>323</v>
      </c>
      <c r="J60" s="58">
        <f t="shared" si="99"/>
        <v>323</v>
      </c>
      <c r="K60" s="37">
        <v>893</v>
      </c>
      <c r="L60" s="58">
        <f t="shared" si="11"/>
        <v>893</v>
      </c>
      <c r="M60" s="77">
        <v>982</v>
      </c>
      <c r="N60" s="58">
        <f t="shared" si="100"/>
        <v>982</v>
      </c>
      <c r="O60" s="77">
        <v>1347</v>
      </c>
      <c r="P60" s="58">
        <f t="shared" si="101"/>
        <v>1347</v>
      </c>
      <c r="Q60" s="77">
        <v>824</v>
      </c>
      <c r="R60" s="58">
        <f t="shared" si="102"/>
        <v>824</v>
      </c>
      <c r="S60" s="77">
        <v>757</v>
      </c>
      <c r="T60" s="58">
        <f t="shared" si="103"/>
        <v>757</v>
      </c>
      <c r="U60" s="57">
        <v>661</v>
      </c>
      <c r="V60" s="58">
        <f t="shared" si="104"/>
        <v>661</v>
      </c>
      <c r="W60" s="77">
        <v>630</v>
      </c>
      <c r="X60" s="58">
        <f t="shared" si="105"/>
        <v>630</v>
      </c>
      <c r="Y60" s="57">
        <v>590</v>
      </c>
      <c r="Z60" s="58">
        <f t="shared" si="106"/>
        <v>590</v>
      </c>
      <c r="AA60" s="57">
        <v>549</v>
      </c>
      <c r="AB60" s="58">
        <f t="shared" si="107"/>
        <v>549</v>
      </c>
      <c r="AC60" s="57">
        <v>284</v>
      </c>
      <c r="AD60" s="58">
        <f t="shared" si="108"/>
        <v>284</v>
      </c>
      <c r="AE60" s="57">
        <v>270</v>
      </c>
      <c r="AF60" s="58">
        <f t="shared" si="109"/>
        <v>270</v>
      </c>
      <c r="AG60" s="57">
        <v>234</v>
      </c>
      <c r="AH60" s="58">
        <f t="shared" si="110"/>
        <v>234</v>
      </c>
      <c r="AI60" s="61">
        <v>235</v>
      </c>
      <c r="AJ60" s="58">
        <f t="shared" si="111"/>
        <v>235</v>
      </c>
      <c r="AK60" s="61">
        <v>213</v>
      </c>
      <c r="AL60" s="58">
        <f t="shared" si="112"/>
        <v>213</v>
      </c>
      <c r="AM60" s="61">
        <v>157</v>
      </c>
      <c r="AN60" s="58">
        <f t="shared" si="113"/>
        <v>157</v>
      </c>
      <c r="AO60" s="61">
        <v>156</v>
      </c>
      <c r="AP60" s="58">
        <f t="shared" si="114"/>
        <v>156</v>
      </c>
      <c r="AQ60" s="57">
        <v>167</v>
      </c>
      <c r="AR60" s="58">
        <f t="shared" si="115"/>
        <v>167</v>
      </c>
      <c r="AS60" s="57">
        <v>173</v>
      </c>
      <c r="AT60" s="58">
        <f t="shared" si="116"/>
        <v>173</v>
      </c>
      <c r="AU60" s="57">
        <v>192.18</v>
      </c>
      <c r="AV60" s="58">
        <f t="shared" si="117"/>
        <v>192.18</v>
      </c>
      <c r="AW60" s="57">
        <v>184.42</v>
      </c>
      <c r="AX60" s="58">
        <f t="shared" si="118"/>
        <v>184.42</v>
      </c>
      <c r="AY60" s="57">
        <v>187.6</v>
      </c>
      <c r="AZ60" s="58">
        <f t="shared" si="119"/>
        <v>187.6</v>
      </c>
      <c r="BA60" s="57">
        <v>154</v>
      </c>
      <c r="BB60" s="58">
        <f t="shared" si="120"/>
        <v>154</v>
      </c>
      <c r="BC60" s="57">
        <v>133.33000000000001</v>
      </c>
      <c r="BD60" s="58">
        <f t="shared" si="121"/>
        <v>133.33000000000001</v>
      </c>
      <c r="BE60" s="57">
        <v>126.75</v>
      </c>
      <c r="BF60" s="58">
        <f t="shared" si="122"/>
        <v>126.75</v>
      </c>
      <c r="BG60" s="95">
        <v>146.16666666666666</v>
      </c>
      <c r="BH60" s="58">
        <f t="shared" si="123"/>
        <v>146.16666666666666</v>
      </c>
      <c r="BI60" s="57">
        <v>146.66999999999999</v>
      </c>
      <c r="BJ60" s="58">
        <f t="shared" si="124"/>
        <v>146.66999999999999</v>
      </c>
      <c r="BK60" s="62">
        <f>I60</f>
        <v>323</v>
      </c>
      <c r="BL60" s="63">
        <v>323</v>
      </c>
      <c r="BM60" s="69"/>
      <c r="BN60" s="69"/>
      <c r="BO60" s="34">
        <v>98</v>
      </c>
      <c r="BP60" s="34">
        <v>1</v>
      </c>
      <c r="BQ60" s="34">
        <v>98.01</v>
      </c>
      <c r="BR60" s="34" t="s">
        <v>254</v>
      </c>
      <c r="BS60" s="65" t="s">
        <v>271</v>
      </c>
      <c r="BT60" s="65" t="s">
        <v>272</v>
      </c>
      <c r="BU60" s="37" t="s">
        <v>175</v>
      </c>
      <c r="BV60" s="66">
        <f t="shared" si="5"/>
        <v>23155.740562311104</v>
      </c>
      <c r="BW60" s="66">
        <f t="shared" si="1"/>
        <v>1880.4934055987424</v>
      </c>
      <c r="BX60" s="66">
        <f t="shared" si="2"/>
        <v>8.1210678645254948</v>
      </c>
      <c r="BY60" s="67"/>
      <c r="BZ60" s="68">
        <v>59</v>
      </c>
      <c r="CA60" s="74" t="s">
        <v>57</v>
      </c>
      <c r="CB60" s="69">
        <f t="shared" si="6"/>
        <v>0</v>
      </c>
      <c r="CC60" s="69">
        <f t="shared" si="7"/>
        <v>0</v>
      </c>
      <c r="CD60" s="70"/>
      <c r="CE60" s="71"/>
      <c r="CF60" s="71"/>
      <c r="CG60" s="71">
        <v>59</v>
      </c>
      <c r="CH60" s="71" t="str">
        <f t="shared" si="126"/>
        <v/>
      </c>
      <c r="CI60" s="71" t="str">
        <f t="shared" si="126"/>
        <v/>
      </c>
      <c r="CJ60" s="71" t="str">
        <f t="shared" si="126"/>
        <v/>
      </c>
      <c r="CK60" s="71" t="str">
        <f t="shared" si="126"/>
        <v/>
      </c>
      <c r="CL60" s="71" t="str">
        <f t="shared" si="126"/>
        <v/>
      </c>
      <c r="CM60" s="71" t="str">
        <f t="shared" si="126"/>
        <v/>
      </c>
      <c r="CN60" s="71" t="str">
        <f t="shared" si="126"/>
        <v/>
      </c>
      <c r="CO60" s="71" t="str">
        <f t="shared" si="126"/>
        <v/>
      </c>
      <c r="CP60" s="71" t="str">
        <f t="shared" si="126"/>
        <v/>
      </c>
      <c r="CQ60" s="71" t="str">
        <f t="shared" si="126"/>
        <v/>
      </c>
      <c r="CR60" s="71"/>
      <c r="CS60" s="71">
        <v>59</v>
      </c>
      <c r="CT60" s="71" t="str">
        <f t="shared" si="127"/>
        <v/>
      </c>
      <c r="CU60" s="71" t="str">
        <f t="shared" si="127"/>
        <v/>
      </c>
      <c r="CV60" s="71" t="str">
        <f t="shared" si="127"/>
        <v/>
      </c>
      <c r="CW60" s="71" t="str">
        <f t="shared" si="127"/>
        <v/>
      </c>
      <c r="CX60" s="71" t="str">
        <f t="shared" si="127"/>
        <v/>
      </c>
      <c r="CY60" s="71" t="str">
        <f t="shared" si="127"/>
        <v/>
      </c>
      <c r="CZ60" s="71" t="str">
        <f t="shared" si="127"/>
        <v/>
      </c>
      <c r="DA60" s="71" t="str">
        <f t="shared" si="127"/>
        <v/>
      </c>
      <c r="DB60" s="71" t="str">
        <f t="shared" si="127"/>
        <v/>
      </c>
      <c r="DC60" s="72" t="str">
        <f t="shared" si="127"/>
        <v/>
      </c>
    </row>
    <row r="61" spans="1:107" x14ac:dyDescent="0.35">
      <c r="A61" s="52">
        <v>124</v>
      </c>
      <c r="B61" s="52">
        <v>60</v>
      </c>
      <c r="E61" s="65" t="s">
        <v>273</v>
      </c>
      <c r="F61" s="55">
        <v>1</v>
      </c>
      <c r="H61" s="79"/>
      <c r="I61" s="37"/>
      <c r="J61" s="75"/>
      <c r="K61" s="37"/>
      <c r="L61" s="75"/>
      <c r="M61" s="37"/>
      <c r="N61" s="75"/>
      <c r="O61" s="37"/>
      <c r="P61" s="75"/>
      <c r="Q61" s="37"/>
      <c r="R61" s="75"/>
      <c r="S61" s="37"/>
      <c r="T61" s="75"/>
      <c r="U61" s="61"/>
      <c r="V61" s="75"/>
      <c r="W61" s="37"/>
      <c r="X61" s="75"/>
      <c r="Y61" s="61"/>
      <c r="Z61" s="75"/>
      <c r="AA61" s="61"/>
      <c r="AB61" s="75"/>
      <c r="AC61" s="61"/>
      <c r="AD61" s="75"/>
      <c r="AE61" s="61"/>
      <c r="AF61" s="75"/>
      <c r="AG61" s="61"/>
      <c r="AH61" s="75"/>
      <c r="AJ61" s="75"/>
      <c r="AL61" s="75"/>
      <c r="AM61" s="61">
        <v>0</v>
      </c>
      <c r="AN61" s="58">
        <f>PRODUCT($F61*AM61)</f>
        <v>0</v>
      </c>
      <c r="AO61" s="61">
        <f>AM61</f>
        <v>0</v>
      </c>
      <c r="AP61" s="58">
        <f>PRODUCT($F61*AO61)</f>
        <v>0</v>
      </c>
      <c r="AQ61" s="61">
        <f>AO61</f>
        <v>0</v>
      </c>
      <c r="AR61" s="75"/>
      <c r="AS61" s="61">
        <f>AQ61</f>
        <v>0</v>
      </c>
      <c r="AT61" s="75"/>
      <c r="AU61" s="61">
        <f>AS61</f>
        <v>0</v>
      </c>
      <c r="AV61" s="58">
        <f>PRODUCT($F61*AU61)</f>
        <v>0</v>
      </c>
      <c r="AW61" s="61">
        <f>AU61</f>
        <v>0</v>
      </c>
      <c r="AX61" s="58">
        <f>PRODUCT($F61*AW61)</f>
        <v>0</v>
      </c>
      <c r="AY61" s="61">
        <f>AW61</f>
        <v>0</v>
      </c>
      <c r="AZ61" s="58">
        <f>PRODUCT($F61*AY61)</f>
        <v>0</v>
      </c>
      <c r="BA61" s="61">
        <f>AY61</f>
        <v>0</v>
      </c>
      <c r="BB61" s="58">
        <f>PRODUCT($F61*BA61)</f>
        <v>0</v>
      </c>
      <c r="BC61" s="61">
        <f>BA61</f>
        <v>0</v>
      </c>
      <c r="BD61" s="58">
        <f>PRODUCT($F61*BC61)</f>
        <v>0</v>
      </c>
      <c r="BE61" s="61">
        <f>BC61</f>
        <v>0</v>
      </c>
      <c r="BF61" s="58">
        <f>PRODUCT($F61*BE61)</f>
        <v>0</v>
      </c>
      <c r="BG61" s="61">
        <f>BE61</f>
        <v>0</v>
      </c>
      <c r="BH61" s="58">
        <f>PRODUCT($F61*BG61)</f>
        <v>0</v>
      </c>
      <c r="BI61" s="57">
        <f>BG61</f>
        <v>0</v>
      </c>
      <c r="BJ61" s="58">
        <f>PRODUCT($F61*BI61)</f>
        <v>0</v>
      </c>
      <c r="BK61" s="80"/>
      <c r="BM61" s="51"/>
      <c r="BN61" s="51"/>
      <c r="BO61" s="65">
        <v>101</v>
      </c>
      <c r="BP61" s="65">
        <v>1</v>
      </c>
      <c r="BQ61" s="65">
        <v>101.01</v>
      </c>
      <c r="BR61" s="34" t="s">
        <v>254</v>
      </c>
      <c r="BS61" s="65" t="s">
        <v>273</v>
      </c>
      <c r="BT61" s="65" t="s">
        <v>274</v>
      </c>
      <c r="BU61" s="37" t="s">
        <v>175</v>
      </c>
      <c r="BV61" s="66">
        <f t="shared" si="5"/>
        <v>0</v>
      </c>
      <c r="BW61" s="66">
        <f t="shared" si="1"/>
        <v>0</v>
      </c>
      <c r="BX61" s="66" t="str">
        <f t="shared" si="2"/>
        <v/>
      </c>
      <c r="BY61" s="67"/>
      <c r="BZ61" s="68">
        <v>60</v>
      </c>
      <c r="CA61" s="74" t="s">
        <v>58</v>
      </c>
      <c r="CB61" s="69">
        <f t="shared" si="6"/>
        <v>0</v>
      </c>
      <c r="CC61" s="69">
        <f t="shared" si="7"/>
        <v>0</v>
      </c>
      <c r="CD61" s="70"/>
      <c r="CE61" s="71"/>
      <c r="CF61" s="71"/>
      <c r="CG61" s="71">
        <v>60</v>
      </c>
      <c r="CH61" s="71" t="str">
        <f t="shared" si="126"/>
        <v/>
      </c>
      <c r="CI61" s="71" t="str">
        <f t="shared" si="126"/>
        <v/>
      </c>
      <c r="CJ61" s="71" t="str">
        <f t="shared" si="126"/>
        <v/>
      </c>
      <c r="CK61" s="71" t="str">
        <f t="shared" si="126"/>
        <v/>
      </c>
      <c r="CL61" s="71" t="str">
        <f t="shared" si="126"/>
        <v/>
      </c>
      <c r="CM61" s="71" t="str">
        <f t="shared" si="126"/>
        <v/>
      </c>
      <c r="CN61" s="71" t="str">
        <f t="shared" si="126"/>
        <v/>
      </c>
      <c r="CO61" s="71" t="str">
        <f t="shared" si="126"/>
        <v/>
      </c>
      <c r="CP61" s="71" t="str">
        <f t="shared" si="126"/>
        <v/>
      </c>
      <c r="CQ61" s="71" t="str">
        <f t="shared" si="126"/>
        <v/>
      </c>
      <c r="CR61" s="71"/>
      <c r="CS61" s="71">
        <v>60</v>
      </c>
      <c r="CT61" s="71" t="str">
        <f t="shared" si="127"/>
        <v/>
      </c>
      <c r="CU61" s="71" t="str">
        <f t="shared" si="127"/>
        <v/>
      </c>
      <c r="CV61" s="71" t="str">
        <f t="shared" si="127"/>
        <v/>
      </c>
      <c r="CW61" s="71" t="str">
        <f t="shared" si="127"/>
        <v/>
      </c>
      <c r="CX61" s="71" t="str">
        <f t="shared" si="127"/>
        <v/>
      </c>
      <c r="CY61" s="71" t="str">
        <f t="shared" si="127"/>
        <v/>
      </c>
      <c r="CZ61" s="71" t="str">
        <f t="shared" si="127"/>
        <v/>
      </c>
      <c r="DA61" s="71" t="str">
        <f t="shared" si="127"/>
        <v/>
      </c>
      <c r="DB61" s="71" t="str">
        <f t="shared" si="127"/>
        <v/>
      </c>
      <c r="DC61" s="72" t="str">
        <f t="shared" si="127"/>
        <v/>
      </c>
    </row>
    <row r="62" spans="1:107" x14ac:dyDescent="0.35">
      <c r="A62" s="52">
        <v>102</v>
      </c>
      <c r="B62" s="52">
        <v>61</v>
      </c>
      <c r="C62" s="52">
        <v>10</v>
      </c>
      <c r="D62" s="52">
        <v>1</v>
      </c>
      <c r="E62" s="98" t="s">
        <v>275</v>
      </c>
      <c r="F62" s="55">
        <v>1</v>
      </c>
      <c r="G62" s="53">
        <v>220</v>
      </c>
      <c r="H62" s="76">
        <f t="shared" ref="H62:H125" si="128">(F62*G62)</f>
        <v>220</v>
      </c>
      <c r="I62" s="77">
        <v>80</v>
      </c>
      <c r="J62" s="58">
        <f t="shared" ref="J62:J125" si="129">PRODUCT(F62,I62)</f>
        <v>80</v>
      </c>
      <c r="K62" s="37">
        <v>220</v>
      </c>
      <c r="L62" s="58">
        <f t="shared" ref="L62:L125" si="130">(K62*F62)</f>
        <v>220</v>
      </c>
      <c r="M62" s="77">
        <v>139</v>
      </c>
      <c r="N62" s="58">
        <f t="shared" ref="N62:N67" si="131">SUM(M62)*F62</f>
        <v>139</v>
      </c>
      <c r="O62" s="77">
        <v>204</v>
      </c>
      <c r="P62" s="58">
        <f t="shared" ref="P62:P67" si="132">SUM(O62)*F62</f>
        <v>204</v>
      </c>
      <c r="Q62" s="77">
        <v>199</v>
      </c>
      <c r="R62" s="58">
        <f t="shared" ref="R62:R67" si="133">SUM(Q62)*F62</f>
        <v>199</v>
      </c>
      <c r="S62" s="77">
        <v>154</v>
      </c>
      <c r="T62" s="58">
        <f t="shared" ref="T62:T67" si="134">SUM(S62)*F62</f>
        <v>154</v>
      </c>
      <c r="U62" s="57">
        <v>137</v>
      </c>
      <c r="V62" s="58">
        <f t="shared" ref="V62:V101" si="135">PRODUCT(U62*F62)</f>
        <v>137</v>
      </c>
      <c r="W62" s="77">
        <v>153</v>
      </c>
      <c r="X62" s="58">
        <f t="shared" ref="X62:X101" si="136">PRODUCT(W62*F62)</f>
        <v>153</v>
      </c>
      <c r="Y62" s="57">
        <v>146</v>
      </c>
      <c r="Z62" s="58">
        <f t="shared" ref="Z62:Z101" si="137">PRODUCT(Y62*F62)</f>
        <v>146</v>
      </c>
      <c r="AA62" s="57">
        <v>161</v>
      </c>
      <c r="AB62" s="58">
        <f t="shared" ref="AB62:AB101" si="138">PRODUCT(AA62*F62)</f>
        <v>161</v>
      </c>
      <c r="AC62" s="57">
        <v>171</v>
      </c>
      <c r="AD62" s="58">
        <f t="shared" ref="AD62:AD101" si="139">PRODUCT(AC62*F62)</f>
        <v>171</v>
      </c>
      <c r="AE62" s="57">
        <v>185</v>
      </c>
      <c r="AF62" s="58">
        <f t="shared" ref="AF62:AF101" si="140">PRODUCT(F62,AE62)</f>
        <v>185</v>
      </c>
      <c r="AG62" s="57">
        <v>194</v>
      </c>
      <c r="AH62" s="58">
        <f t="shared" ref="AH62:AH101" si="141">PRODUCT(F62,AG62)</f>
        <v>194</v>
      </c>
      <c r="AI62" s="61">
        <v>66</v>
      </c>
      <c r="AJ62" s="58">
        <f t="shared" ref="AJ62:AJ101" si="142">PRODUCT(F62,AI62)</f>
        <v>66</v>
      </c>
      <c r="AK62" s="61">
        <v>78</v>
      </c>
      <c r="AL62" s="58">
        <f t="shared" ref="AL62:AL67" si="143">PRODUCT(F62*AK62)</f>
        <v>78</v>
      </c>
      <c r="AM62" s="61">
        <v>62</v>
      </c>
      <c r="AN62" s="58">
        <f t="shared" ref="AN62:AN67" si="144">F62*AM62</f>
        <v>62</v>
      </c>
      <c r="AO62" s="61">
        <v>59</v>
      </c>
      <c r="AP62" s="58">
        <f t="shared" ref="AP62:AP125" si="145">PRODUCT( F62*AO62)</f>
        <v>59</v>
      </c>
      <c r="AQ62" s="57">
        <v>62</v>
      </c>
      <c r="AR62" s="58">
        <f t="shared" ref="AR62:AR67" si="146">$F62*AQ62</f>
        <v>62</v>
      </c>
      <c r="AS62" s="57">
        <v>56.4</v>
      </c>
      <c r="AT62" s="58">
        <f t="shared" ref="AT62:AT67" si="147">$F62*AS62</f>
        <v>56.4</v>
      </c>
      <c r="AU62" s="57">
        <v>44.84</v>
      </c>
      <c r="AV62" s="58">
        <f t="shared" ref="AV62:AV67" si="148">$F62*AU62</f>
        <v>44.84</v>
      </c>
      <c r="AW62" s="57">
        <v>56.12</v>
      </c>
      <c r="AX62" s="58">
        <f t="shared" ref="AX62:AX67" si="149">$F62*AW62</f>
        <v>56.12</v>
      </c>
      <c r="AY62" s="57">
        <v>53.43</v>
      </c>
      <c r="AZ62" s="58">
        <f t="shared" ref="AZ62:AZ67" si="150">$F62*AY62</f>
        <v>53.43</v>
      </c>
      <c r="BA62" s="57">
        <v>50</v>
      </c>
      <c r="BB62" s="58">
        <f t="shared" ref="BB62:BB67" si="151">$F62*BA62</f>
        <v>50</v>
      </c>
      <c r="BC62" s="57">
        <v>33.183333333333302</v>
      </c>
      <c r="BD62" s="58">
        <f>$F62*BC62</f>
        <v>33.183333333333302</v>
      </c>
      <c r="BE62" s="57">
        <v>39.924999999999997</v>
      </c>
      <c r="BF62" s="58">
        <f t="shared" ref="BF62:BF67" si="152">$F62*BE62</f>
        <v>39.924999999999997</v>
      </c>
      <c r="BG62" s="95">
        <v>44.574999999999996</v>
      </c>
      <c r="BH62" s="58">
        <f t="shared" ref="BH62:BH67" si="153">$F62*BG62</f>
        <v>44.574999999999996</v>
      </c>
      <c r="BI62" s="57">
        <v>35.58</v>
      </c>
      <c r="BJ62" s="58">
        <f t="shared" ref="BJ62:BJ67" si="154">$F62*BI62</f>
        <v>35.58</v>
      </c>
      <c r="BK62" s="62">
        <f t="shared" ref="BK62:BL93" si="155">I62</f>
        <v>80</v>
      </c>
      <c r="BL62" s="63">
        <v>80</v>
      </c>
      <c r="BM62" s="69" t="s">
        <v>276</v>
      </c>
      <c r="BO62" s="64">
        <v>102</v>
      </c>
      <c r="BP62" s="64">
        <v>1</v>
      </c>
      <c r="BQ62" s="64">
        <v>102.01</v>
      </c>
      <c r="BR62" s="34" t="s">
        <v>254</v>
      </c>
      <c r="BS62" s="65" t="s">
        <v>275</v>
      </c>
      <c r="BT62" s="65" t="s">
        <v>275</v>
      </c>
      <c r="BU62" s="37" t="s">
        <v>175</v>
      </c>
      <c r="BV62" s="66">
        <f t="shared" si="5"/>
        <v>6626.8581621333333</v>
      </c>
      <c r="BW62" s="66">
        <f t="shared" si="1"/>
        <v>744.75362771070388</v>
      </c>
      <c r="BX62" s="66">
        <f t="shared" si="2"/>
        <v>11.23841207235</v>
      </c>
      <c r="BY62" s="67"/>
      <c r="BZ62" s="68">
        <v>61</v>
      </c>
      <c r="CA62" s="74" t="s">
        <v>59</v>
      </c>
      <c r="CB62" s="69">
        <f t="shared" si="6"/>
        <v>0</v>
      </c>
      <c r="CC62" s="69">
        <f t="shared" si="7"/>
        <v>0</v>
      </c>
      <c r="CD62" s="70"/>
      <c r="CE62" s="71"/>
      <c r="CF62" s="71"/>
      <c r="CG62" s="71">
        <v>61</v>
      </c>
      <c r="CH62" s="71" t="str">
        <f t="shared" si="126"/>
        <v/>
      </c>
      <c r="CI62" s="71" t="str">
        <f t="shared" si="126"/>
        <v/>
      </c>
      <c r="CJ62" s="71" t="str">
        <f t="shared" si="126"/>
        <v/>
      </c>
      <c r="CK62" s="71" t="str">
        <f t="shared" si="126"/>
        <v/>
      </c>
      <c r="CL62" s="71" t="str">
        <f t="shared" si="126"/>
        <v/>
      </c>
      <c r="CM62" s="71" t="str">
        <f t="shared" si="126"/>
        <v/>
      </c>
      <c r="CN62" s="71" t="str">
        <f t="shared" si="126"/>
        <v/>
      </c>
      <c r="CO62" s="71" t="str">
        <f t="shared" si="126"/>
        <v/>
      </c>
      <c r="CP62" s="71" t="str">
        <f t="shared" si="126"/>
        <v/>
      </c>
      <c r="CQ62" s="71" t="str">
        <f t="shared" si="126"/>
        <v/>
      </c>
      <c r="CR62" s="71"/>
      <c r="CS62" s="71">
        <v>61</v>
      </c>
      <c r="CT62" s="71" t="str">
        <f t="shared" si="127"/>
        <v/>
      </c>
      <c r="CU62" s="71" t="str">
        <f t="shared" si="127"/>
        <v/>
      </c>
      <c r="CV62" s="71" t="str">
        <f t="shared" si="127"/>
        <v/>
      </c>
      <c r="CW62" s="71" t="str">
        <f t="shared" si="127"/>
        <v/>
      </c>
      <c r="CX62" s="71" t="str">
        <f t="shared" si="127"/>
        <v/>
      </c>
      <c r="CY62" s="71" t="str">
        <f t="shared" si="127"/>
        <v/>
      </c>
      <c r="CZ62" s="71" t="str">
        <f t="shared" si="127"/>
        <v/>
      </c>
      <c r="DA62" s="71" t="str">
        <f t="shared" si="127"/>
        <v/>
      </c>
      <c r="DB62" s="71" t="str">
        <f t="shared" si="127"/>
        <v/>
      </c>
      <c r="DC62" s="72" t="str">
        <f t="shared" si="127"/>
        <v/>
      </c>
    </row>
    <row r="63" spans="1:107" x14ac:dyDescent="0.35">
      <c r="A63" s="52">
        <v>107</v>
      </c>
      <c r="B63" s="52">
        <v>62</v>
      </c>
      <c r="C63" s="52" t="s">
        <v>277</v>
      </c>
      <c r="D63" s="52">
        <v>1</v>
      </c>
      <c r="E63" s="98" t="s">
        <v>278</v>
      </c>
      <c r="F63" s="55">
        <v>0.94</v>
      </c>
      <c r="G63" s="53">
        <v>448</v>
      </c>
      <c r="H63" s="76">
        <f t="shared" si="128"/>
        <v>421.12</v>
      </c>
      <c r="I63" s="77">
        <v>87</v>
      </c>
      <c r="J63" s="58">
        <f t="shared" si="129"/>
        <v>81.78</v>
      </c>
      <c r="K63" s="37">
        <v>448</v>
      </c>
      <c r="L63" s="58">
        <f t="shared" si="130"/>
        <v>421.12</v>
      </c>
      <c r="M63" s="77">
        <v>206</v>
      </c>
      <c r="N63" s="58">
        <f t="shared" si="131"/>
        <v>193.64</v>
      </c>
      <c r="O63" s="77">
        <v>293</v>
      </c>
      <c r="P63" s="58">
        <f t="shared" si="132"/>
        <v>275.41999999999996</v>
      </c>
      <c r="Q63" s="77">
        <v>276</v>
      </c>
      <c r="R63" s="58">
        <f t="shared" si="133"/>
        <v>259.44</v>
      </c>
      <c r="S63" s="77">
        <v>263</v>
      </c>
      <c r="T63" s="58">
        <f t="shared" si="134"/>
        <v>247.22</v>
      </c>
      <c r="U63" s="57">
        <v>260</v>
      </c>
      <c r="V63" s="58">
        <f t="shared" si="135"/>
        <v>244.39999999999998</v>
      </c>
      <c r="W63" s="77">
        <v>280</v>
      </c>
      <c r="X63" s="58">
        <f t="shared" si="136"/>
        <v>263.2</v>
      </c>
      <c r="Y63" s="57">
        <v>288</v>
      </c>
      <c r="Z63" s="58">
        <f t="shared" si="137"/>
        <v>270.71999999999997</v>
      </c>
      <c r="AA63" s="57">
        <v>288</v>
      </c>
      <c r="AB63" s="58">
        <f t="shared" si="138"/>
        <v>270.71999999999997</v>
      </c>
      <c r="AC63" s="57">
        <v>281</v>
      </c>
      <c r="AD63" s="58">
        <f t="shared" si="139"/>
        <v>264.14</v>
      </c>
      <c r="AE63" s="57">
        <v>276</v>
      </c>
      <c r="AF63" s="58">
        <f t="shared" si="140"/>
        <v>259.44</v>
      </c>
      <c r="AG63" s="57">
        <v>295</v>
      </c>
      <c r="AH63" s="58">
        <f t="shared" si="141"/>
        <v>277.3</v>
      </c>
      <c r="AI63" s="61">
        <v>284</v>
      </c>
      <c r="AJ63" s="58">
        <f t="shared" si="142"/>
        <v>266.95999999999998</v>
      </c>
      <c r="AK63" s="61">
        <v>266</v>
      </c>
      <c r="AL63" s="58">
        <f t="shared" si="143"/>
        <v>250.04</v>
      </c>
      <c r="AM63" s="61">
        <v>112</v>
      </c>
      <c r="AN63" s="58">
        <f t="shared" si="144"/>
        <v>105.28</v>
      </c>
      <c r="AO63" s="61">
        <v>95</v>
      </c>
      <c r="AP63" s="58">
        <f t="shared" si="145"/>
        <v>89.3</v>
      </c>
      <c r="AQ63" s="57">
        <v>114</v>
      </c>
      <c r="AR63" s="58">
        <f t="shared" si="146"/>
        <v>107.16</v>
      </c>
      <c r="AS63" s="57">
        <v>120.7</v>
      </c>
      <c r="AT63" s="58">
        <f t="shared" si="147"/>
        <v>113.458</v>
      </c>
      <c r="AU63" s="57">
        <v>132.77000000000001</v>
      </c>
      <c r="AV63" s="58">
        <f t="shared" si="148"/>
        <v>124.80380000000001</v>
      </c>
      <c r="AW63" s="57">
        <v>64.88</v>
      </c>
      <c r="AX63" s="58">
        <f t="shared" si="149"/>
        <v>60.987199999999994</v>
      </c>
      <c r="AY63" s="57">
        <v>55.42</v>
      </c>
      <c r="AZ63" s="58">
        <f t="shared" si="150"/>
        <v>52.094799999999999</v>
      </c>
      <c r="BA63" s="57">
        <v>55</v>
      </c>
      <c r="BB63" s="58">
        <f t="shared" si="151"/>
        <v>51.699999999999996</v>
      </c>
      <c r="BC63" s="57">
        <v>38.11</v>
      </c>
      <c r="BD63" s="58">
        <f>$F63*BC63</f>
        <v>35.823399999999999</v>
      </c>
      <c r="BE63" s="57">
        <v>42.02</v>
      </c>
      <c r="BF63" s="58">
        <f t="shared" si="152"/>
        <v>39.498800000000003</v>
      </c>
      <c r="BG63" s="95">
        <v>45.45</v>
      </c>
      <c r="BH63" s="58">
        <f t="shared" si="153"/>
        <v>42.722999999999999</v>
      </c>
      <c r="BI63" s="57">
        <v>48.35</v>
      </c>
      <c r="BJ63" s="58">
        <f t="shared" si="154"/>
        <v>45.448999999999998</v>
      </c>
      <c r="BK63" s="62">
        <f t="shared" si="155"/>
        <v>87</v>
      </c>
      <c r="BL63" s="63">
        <v>81.78</v>
      </c>
      <c r="BO63" s="65">
        <v>105</v>
      </c>
      <c r="BP63" s="65">
        <v>1</v>
      </c>
      <c r="BQ63" s="65">
        <v>105.01</v>
      </c>
      <c r="BR63" s="65" t="s">
        <v>254</v>
      </c>
      <c r="BS63" s="65" t="s">
        <v>279</v>
      </c>
      <c r="BT63" s="99" t="s">
        <v>280</v>
      </c>
      <c r="BU63" s="37" t="s">
        <v>175</v>
      </c>
      <c r="BV63" s="66">
        <f t="shared" si="5"/>
        <v>7495.5019618666665</v>
      </c>
      <c r="BW63" s="66">
        <f t="shared" si="1"/>
        <v>524.6127056421667</v>
      </c>
      <c r="BX63" s="66">
        <f t="shared" si="2"/>
        <v>6.9990336646048732</v>
      </c>
      <c r="BY63" s="67"/>
      <c r="BZ63" s="68">
        <v>62</v>
      </c>
      <c r="CA63" s="74" t="s">
        <v>60</v>
      </c>
      <c r="CB63" s="69">
        <f t="shared" si="6"/>
        <v>0</v>
      </c>
      <c r="CC63" s="69">
        <f t="shared" si="7"/>
        <v>0</v>
      </c>
      <c r="CD63" s="70"/>
      <c r="CE63" s="71"/>
      <c r="CF63" s="71"/>
      <c r="CG63" s="71">
        <v>62</v>
      </c>
      <c r="CH63" s="71" t="str">
        <f t="shared" si="126"/>
        <v/>
      </c>
      <c r="CI63" s="71" t="str">
        <f t="shared" si="126"/>
        <v/>
      </c>
      <c r="CJ63" s="71" t="str">
        <f t="shared" si="126"/>
        <v/>
      </c>
      <c r="CK63" s="71" t="str">
        <f t="shared" si="126"/>
        <v/>
      </c>
      <c r="CL63" s="71" t="str">
        <f t="shared" si="126"/>
        <v/>
      </c>
      <c r="CM63" s="71" t="str">
        <f t="shared" si="126"/>
        <v/>
      </c>
      <c r="CN63" s="71" t="str">
        <f t="shared" si="126"/>
        <v/>
      </c>
      <c r="CO63" s="71" t="str">
        <f t="shared" si="126"/>
        <v/>
      </c>
      <c r="CP63" s="71" t="str">
        <f t="shared" si="126"/>
        <v/>
      </c>
      <c r="CQ63" s="71" t="str">
        <f t="shared" si="126"/>
        <v/>
      </c>
      <c r="CR63" s="71"/>
      <c r="CS63" s="71">
        <v>62</v>
      </c>
      <c r="CT63" s="71" t="str">
        <f t="shared" si="127"/>
        <v/>
      </c>
      <c r="CU63" s="71" t="str">
        <f t="shared" si="127"/>
        <v/>
      </c>
      <c r="CV63" s="71" t="str">
        <f t="shared" si="127"/>
        <v/>
      </c>
      <c r="CW63" s="71" t="str">
        <f t="shared" si="127"/>
        <v/>
      </c>
      <c r="CX63" s="71" t="str">
        <f t="shared" si="127"/>
        <v/>
      </c>
      <c r="CY63" s="71" t="str">
        <f t="shared" si="127"/>
        <v/>
      </c>
      <c r="CZ63" s="71" t="str">
        <f t="shared" si="127"/>
        <v/>
      </c>
      <c r="DA63" s="71" t="str">
        <f t="shared" si="127"/>
        <v/>
      </c>
      <c r="DB63" s="71" t="str">
        <f t="shared" si="127"/>
        <v/>
      </c>
      <c r="DC63" s="72" t="str">
        <f t="shared" si="127"/>
        <v/>
      </c>
    </row>
    <row r="64" spans="1:107" x14ac:dyDescent="0.35">
      <c r="A64" s="52">
        <v>109</v>
      </c>
      <c r="B64" s="52">
        <v>63</v>
      </c>
      <c r="C64" s="52" t="s">
        <v>277</v>
      </c>
      <c r="D64" s="52">
        <v>1</v>
      </c>
      <c r="E64" s="98" t="s">
        <v>281</v>
      </c>
      <c r="F64" s="55">
        <v>0.94</v>
      </c>
      <c r="G64" s="53">
        <v>52</v>
      </c>
      <c r="H64" s="76">
        <f t="shared" si="128"/>
        <v>48.879999999999995</v>
      </c>
      <c r="I64" s="77">
        <v>10</v>
      </c>
      <c r="J64" s="58">
        <f t="shared" si="129"/>
        <v>9.3999999999999986</v>
      </c>
      <c r="K64" s="37">
        <v>52</v>
      </c>
      <c r="L64" s="58">
        <f t="shared" si="130"/>
        <v>48.879999999999995</v>
      </c>
      <c r="M64" s="77">
        <v>52</v>
      </c>
      <c r="N64" s="58">
        <f t="shared" si="131"/>
        <v>48.879999999999995</v>
      </c>
      <c r="O64" s="77">
        <v>52</v>
      </c>
      <c r="P64" s="58">
        <f t="shared" si="132"/>
        <v>48.879999999999995</v>
      </c>
      <c r="Q64" s="77">
        <v>52</v>
      </c>
      <c r="R64" s="58">
        <f t="shared" si="133"/>
        <v>48.879999999999995</v>
      </c>
      <c r="S64" s="77">
        <v>52</v>
      </c>
      <c r="T64" s="58">
        <f t="shared" si="134"/>
        <v>48.879999999999995</v>
      </c>
      <c r="U64" s="57">
        <v>52</v>
      </c>
      <c r="V64" s="58">
        <f t="shared" si="135"/>
        <v>48.879999999999995</v>
      </c>
      <c r="W64" s="77">
        <v>52</v>
      </c>
      <c r="X64" s="58">
        <f t="shared" si="136"/>
        <v>48.879999999999995</v>
      </c>
      <c r="Y64" s="57">
        <v>52</v>
      </c>
      <c r="Z64" s="58">
        <f t="shared" si="137"/>
        <v>48.879999999999995</v>
      </c>
      <c r="AA64" s="57">
        <v>52</v>
      </c>
      <c r="AB64" s="58">
        <f t="shared" si="138"/>
        <v>48.879999999999995</v>
      </c>
      <c r="AC64" s="57">
        <v>52</v>
      </c>
      <c r="AD64" s="58">
        <f t="shared" si="139"/>
        <v>48.879999999999995</v>
      </c>
      <c r="AE64" s="57">
        <v>52</v>
      </c>
      <c r="AF64" s="58">
        <f t="shared" si="140"/>
        <v>48.879999999999995</v>
      </c>
      <c r="AG64" s="57">
        <v>52</v>
      </c>
      <c r="AH64" s="58">
        <f t="shared" si="141"/>
        <v>48.879999999999995</v>
      </c>
      <c r="AI64" s="61">
        <v>34</v>
      </c>
      <c r="AJ64" s="58">
        <f t="shared" si="142"/>
        <v>31.959999999999997</v>
      </c>
      <c r="AK64" s="61">
        <v>31</v>
      </c>
      <c r="AL64" s="58">
        <f t="shared" si="143"/>
        <v>29.139999999999997</v>
      </c>
      <c r="AM64" s="61">
        <v>20</v>
      </c>
      <c r="AN64" s="58">
        <f t="shared" si="144"/>
        <v>18.799999999999997</v>
      </c>
      <c r="AO64" s="61">
        <v>20</v>
      </c>
      <c r="AP64" s="58">
        <f t="shared" si="145"/>
        <v>18.799999999999997</v>
      </c>
      <c r="AQ64" s="57">
        <v>19</v>
      </c>
      <c r="AR64" s="58">
        <f t="shared" si="146"/>
        <v>17.86</v>
      </c>
      <c r="AS64" s="57">
        <v>19.5</v>
      </c>
      <c r="AT64" s="58">
        <f t="shared" si="147"/>
        <v>18.329999999999998</v>
      </c>
      <c r="AU64" s="57">
        <v>18.079999999999998</v>
      </c>
      <c r="AV64" s="58">
        <f t="shared" si="148"/>
        <v>16.995199999999997</v>
      </c>
      <c r="AW64" s="57">
        <v>17.079999999999998</v>
      </c>
      <c r="AX64" s="58">
        <f t="shared" si="149"/>
        <v>16.055199999999999</v>
      </c>
      <c r="AY64" s="57">
        <v>15.62</v>
      </c>
      <c r="AZ64" s="58">
        <f t="shared" si="150"/>
        <v>14.682799999999999</v>
      </c>
      <c r="BA64" s="57">
        <v>9</v>
      </c>
      <c r="BB64" s="58">
        <f t="shared" si="151"/>
        <v>8.4599999999999991</v>
      </c>
      <c r="BC64" s="57">
        <v>6</v>
      </c>
      <c r="BD64" s="58">
        <f>$F64*BC64</f>
        <v>5.64</v>
      </c>
      <c r="BE64" s="57">
        <v>4.83</v>
      </c>
      <c r="BF64" s="58">
        <f t="shared" si="152"/>
        <v>4.5401999999999996</v>
      </c>
      <c r="BG64" s="95">
        <v>5.6333333333333329</v>
      </c>
      <c r="BH64" s="58">
        <f t="shared" si="153"/>
        <v>5.2953333333333328</v>
      </c>
      <c r="BI64" s="57">
        <v>6.43</v>
      </c>
      <c r="BJ64" s="58">
        <f t="shared" si="154"/>
        <v>6.0441999999999991</v>
      </c>
      <c r="BK64" s="62">
        <f t="shared" si="155"/>
        <v>10</v>
      </c>
      <c r="BL64" s="63">
        <v>9.4</v>
      </c>
      <c r="BO64" s="78">
        <v>107</v>
      </c>
      <c r="BP64" s="78">
        <v>1</v>
      </c>
      <c r="BQ64" s="78">
        <v>107.01</v>
      </c>
      <c r="BR64" s="34" t="s">
        <v>254</v>
      </c>
      <c r="BS64" s="65" t="s">
        <v>281</v>
      </c>
      <c r="BT64" s="65" t="s">
        <v>282</v>
      </c>
      <c r="BU64" s="37" t="s">
        <v>175</v>
      </c>
      <c r="BV64" s="66">
        <f t="shared" si="5"/>
        <v>932.29283715555539</v>
      </c>
      <c r="BW64" s="66">
        <f t="shared" si="1"/>
        <v>132.44924724268716</v>
      </c>
      <c r="BX64" s="66">
        <f t="shared" si="2"/>
        <v>14.206828794994559</v>
      </c>
      <c r="BY64" s="67"/>
      <c r="BZ64" s="68">
        <v>63</v>
      </c>
      <c r="CA64" s="74" t="s">
        <v>61</v>
      </c>
      <c r="CB64" s="69">
        <f t="shared" si="6"/>
        <v>0</v>
      </c>
      <c r="CC64" s="69">
        <f t="shared" si="7"/>
        <v>0</v>
      </c>
      <c r="CD64" s="70"/>
      <c r="CE64" s="71"/>
      <c r="CF64" s="71"/>
      <c r="CG64" s="71">
        <v>63</v>
      </c>
      <c r="CH64" s="71" t="str">
        <f t="shared" si="126"/>
        <v/>
      </c>
      <c r="CI64" s="71" t="str">
        <f t="shared" si="126"/>
        <v/>
      </c>
      <c r="CJ64" s="71" t="str">
        <f t="shared" si="126"/>
        <v/>
      </c>
      <c r="CK64" s="71" t="str">
        <f t="shared" si="126"/>
        <v/>
      </c>
      <c r="CL64" s="71" t="str">
        <f t="shared" si="126"/>
        <v/>
      </c>
      <c r="CM64" s="71" t="str">
        <f t="shared" si="126"/>
        <v/>
      </c>
      <c r="CN64" s="71" t="str">
        <f t="shared" si="126"/>
        <v/>
      </c>
      <c r="CO64" s="71" t="str">
        <f t="shared" si="126"/>
        <v/>
      </c>
      <c r="CP64" s="71" t="str">
        <f t="shared" si="126"/>
        <v/>
      </c>
      <c r="CQ64" s="71" t="str">
        <f t="shared" si="126"/>
        <v/>
      </c>
      <c r="CR64" s="71"/>
      <c r="CS64" s="71">
        <v>63</v>
      </c>
      <c r="CT64" s="71" t="str">
        <f t="shared" si="127"/>
        <v/>
      </c>
      <c r="CU64" s="71" t="str">
        <f t="shared" si="127"/>
        <v/>
      </c>
      <c r="CV64" s="71" t="str">
        <f t="shared" si="127"/>
        <v/>
      </c>
      <c r="CW64" s="71" t="str">
        <f t="shared" si="127"/>
        <v/>
      </c>
      <c r="CX64" s="71" t="str">
        <f t="shared" si="127"/>
        <v/>
      </c>
      <c r="CY64" s="71" t="str">
        <f t="shared" si="127"/>
        <v/>
      </c>
      <c r="CZ64" s="71" t="str">
        <f t="shared" si="127"/>
        <v/>
      </c>
      <c r="DA64" s="71" t="str">
        <f t="shared" si="127"/>
        <v/>
      </c>
      <c r="DB64" s="71" t="str">
        <f t="shared" si="127"/>
        <v/>
      </c>
      <c r="DC64" s="72" t="str">
        <f t="shared" si="127"/>
        <v/>
      </c>
    </row>
    <row r="65" spans="1:107" x14ac:dyDescent="0.35">
      <c r="A65" s="52">
        <v>105</v>
      </c>
      <c r="B65" s="52">
        <v>64</v>
      </c>
      <c r="C65" s="52" t="s">
        <v>277</v>
      </c>
      <c r="D65" s="52">
        <v>1</v>
      </c>
      <c r="E65" s="80" t="s">
        <v>283</v>
      </c>
      <c r="F65" s="55">
        <v>0.94</v>
      </c>
      <c r="G65" s="53">
        <v>208</v>
      </c>
      <c r="H65" s="76">
        <f t="shared" si="128"/>
        <v>195.51999999999998</v>
      </c>
      <c r="I65" s="77">
        <v>40</v>
      </c>
      <c r="J65" s="58">
        <f t="shared" si="129"/>
        <v>37.599999999999994</v>
      </c>
      <c r="K65" s="37">
        <v>208</v>
      </c>
      <c r="L65" s="58">
        <f t="shared" si="130"/>
        <v>195.51999999999998</v>
      </c>
      <c r="M65" s="77">
        <v>79</v>
      </c>
      <c r="N65" s="58">
        <f t="shared" si="131"/>
        <v>74.259999999999991</v>
      </c>
      <c r="O65" s="77">
        <v>64</v>
      </c>
      <c r="P65" s="58">
        <f t="shared" si="132"/>
        <v>60.16</v>
      </c>
      <c r="Q65" s="77">
        <v>66</v>
      </c>
      <c r="R65" s="58">
        <f t="shared" si="133"/>
        <v>62.04</v>
      </c>
      <c r="S65" s="77">
        <v>67</v>
      </c>
      <c r="T65" s="58">
        <f t="shared" si="134"/>
        <v>62.98</v>
      </c>
      <c r="U65" s="57">
        <v>69</v>
      </c>
      <c r="V65" s="58">
        <f t="shared" si="135"/>
        <v>64.86</v>
      </c>
      <c r="W65" s="77">
        <v>78</v>
      </c>
      <c r="X65" s="58">
        <f t="shared" si="136"/>
        <v>73.319999999999993</v>
      </c>
      <c r="Y65" s="57">
        <v>93</v>
      </c>
      <c r="Z65" s="58">
        <f t="shared" si="137"/>
        <v>87.42</v>
      </c>
      <c r="AA65" s="57">
        <v>61</v>
      </c>
      <c r="AB65" s="58">
        <f t="shared" si="138"/>
        <v>57.339999999999996</v>
      </c>
      <c r="AC65" s="57">
        <v>54</v>
      </c>
      <c r="AD65" s="58">
        <f t="shared" si="139"/>
        <v>50.76</v>
      </c>
      <c r="AE65" s="57">
        <v>67</v>
      </c>
      <c r="AF65" s="58">
        <f t="shared" si="140"/>
        <v>62.98</v>
      </c>
      <c r="AG65" s="57">
        <v>62</v>
      </c>
      <c r="AH65" s="58">
        <f t="shared" si="141"/>
        <v>58.279999999999994</v>
      </c>
      <c r="AI65" s="61">
        <v>87</v>
      </c>
      <c r="AJ65" s="58">
        <f t="shared" si="142"/>
        <v>81.78</v>
      </c>
      <c r="AK65" s="61">
        <v>75</v>
      </c>
      <c r="AL65" s="58">
        <f t="shared" si="143"/>
        <v>70.5</v>
      </c>
      <c r="AM65" s="61">
        <v>78</v>
      </c>
      <c r="AN65" s="58">
        <f t="shared" si="144"/>
        <v>73.319999999999993</v>
      </c>
      <c r="AO65" s="61">
        <v>93</v>
      </c>
      <c r="AP65" s="58">
        <f t="shared" si="145"/>
        <v>87.42</v>
      </c>
      <c r="AQ65" s="57">
        <v>91</v>
      </c>
      <c r="AR65" s="58">
        <f t="shared" si="146"/>
        <v>85.539999999999992</v>
      </c>
      <c r="AS65" s="57">
        <v>86.1</v>
      </c>
      <c r="AT65" s="58">
        <f t="shared" si="147"/>
        <v>80.933999999999983</v>
      </c>
      <c r="AU65" s="57">
        <v>64.78</v>
      </c>
      <c r="AV65" s="58">
        <f t="shared" si="148"/>
        <v>60.8932</v>
      </c>
      <c r="AW65" s="57">
        <v>71</v>
      </c>
      <c r="AX65" s="58">
        <f t="shared" si="149"/>
        <v>66.739999999999995</v>
      </c>
      <c r="AY65" s="57">
        <v>73.05</v>
      </c>
      <c r="AZ65" s="58">
        <f t="shared" si="150"/>
        <v>68.666999999999987</v>
      </c>
      <c r="BA65" s="57">
        <v>40</v>
      </c>
      <c r="BB65" s="58">
        <f t="shared" si="151"/>
        <v>37.599999999999994</v>
      </c>
      <c r="BC65" s="57">
        <v>38.516666666666701</v>
      </c>
      <c r="BE65" s="57">
        <v>41.858333333333299</v>
      </c>
      <c r="BF65" s="58">
        <f t="shared" si="152"/>
        <v>39.346833333333301</v>
      </c>
      <c r="BG65" s="95">
        <v>33.858333333333334</v>
      </c>
      <c r="BH65" s="58">
        <f t="shared" si="153"/>
        <v>31.826833333333333</v>
      </c>
      <c r="BI65" s="57">
        <v>36.229999999999997</v>
      </c>
      <c r="BJ65" s="58">
        <f t="shared" si="154"/>
        <v>34.056199999999997</v>
      </c>
      <c r="BK65" s="62">
        <f t="shared" si="155"/>
        <v>40</v>
      </c>
      <c r="BL65" s="63">
        <v>37.6</v>
      </c>
      <c r="BO65" s="78">
        <v>113</v>
      </c>
      <c r="BP65" s="78">
        <v>1</v>
      </c>
      <c r="BQ65" s="78">
        <v>113.01</v>
      </c>
      <c r="BR65" s="34" t="s">
        <v>254</v>
      </c>
      <c r="BS65" s="65" t="s">
        <v>283</v>
      </c>
      <c r="BT65" s="65" t="s">
        <v>284</v>
      </c>
      <c r="BU65" s="37" t="s">
        <v>175</v>
      </c>
      <c r="BV65" s="66">
        <f t="shared" si="5"/>
        <v>6178.0036785777756</v>
      </c>
      <c r="BW65" s="66">
        <f t="shared" si="1"/>
        <v>680.28931222677738</v>
      </c>
      <c r="BX65" s="66">
        <f t="shared" si="2"/>
        <v>11.011474703158243</v>
      </c>
      <c r="BY65" s="67"/>
      <c r="BZ65" s="68">
        <v>64</v>
      </c>
      <c r="CA65" s="74" t="s">
        <v>62</v>
      </c>
      <c r="CB65" s="69">
        <f t="shared" si="6"/>
        <v>5629.07672</v>
      </c>
      <c r="CC65" s="69">
        <f t="shared" si="7"/>
        <v>827.80539999999996</v>
      </c>
      <c r="CD65" s="70"/>
      <c r="CE65" s="71"/>
      <c r="CF65" s="71"/>
      <c r="CG65" s="71">
        <v>64</v>
      </c>
      <c r="CH65" s="71">
        <f t="shared" si="126"/>
        <v>5629.07672</v>
      </c>
      <c r="CI65" s="71" t="str">
        <f t="shared" si="126"/>
        <v/>
      </c>
      <c r="CJ65" s="71" t="str">
        <f t="shared" si="126"/>
        <v/>
      </c>
      <c r="CK65" s="71" t="str">
        <f t="shared" si="126"/>
        <v/>
      </c>
      <c r="CL65" s="71" t="str">
        <f t="shared" si="126"/>
        <v/>
      </c>
      <c r="CM65" s="71" t="str">
        <f t="shared" si="126"/>
        <v/>
      </c>
      <c r="CN65" s="71" t="str">
        <f t="shared" si="126"/>
        <v/>
      </c>
      <c r="CO65" s="71" t="str">
        <f t="shared" si="126"/>
        <v/>
      </c>
      <c r="CP65" s="71" t="str">
        <f t="shared" si="126"/>
        <v/>
      </c>
      <c r="CQ65" s="71" t="str">
        <f t="shared" si="126"/>
        <v/>
      </c>
      <c r="CR65" s="71"/>
      <c r="CS65" s="71">
        <v>64</v>
      </c>
      <c r="CT65" s="71">
        <f t="shared" si="127"/>
        <v>685261.78026915994</v>
      </c>
      <c r="CU65" s="71" t="str">
        <f t="shared" si="127"/>
        <v/>
      </c>
      <c r="CV65" s="71" t="str">
        <f t="shared" si="127"/>
        <v/>
      </c>
      <c r="CW65" s="71" t="str">
        <f t="shared" si="127"/>
        <v/>
      </c>
      <c r="CX65" s="71" t="str">
        <f t="shared" si="127"/>
        <v/>
      </c>
      <c r="CY65" s="71" t="str">
        <f t="shared" si="127"/>
        <v/>
      </c>
      <c r="CZ65" s="71" t="str">
        <f t="shared" si="127"/>
        <v/>
      </c>
      <c r="DA65" s="71" t="str">
        <f t="shared" si="127"/>
        <v/>
      </c>
      <c r="DB65" s="71" t="str">
        <f t="shared" si="127"/>
        <v/>
      </c>
      <c r="DC65" s="72" t="str">
        <f t="shared" si="127"/>
        <v/>
      </c>
    </row>
    <row r="66" spans="1:107" x14ac:dyDescent="0.35">
      <c r="A66" s="52">
        <v>106</v>
      </c>
      <c r="B66" s="52">
        <v>65</v>
      </c>
      <c r="C66" s="52" t="s">
        <v>277</v>
      </c>
      <c r="D66" s="52">
        <v>1</v>
      </c>
      <c r="E66" s="98" t="s">
        <v>285</v>
      </c>
      <c r="F66" s="55">
        <v>0.94</v>
      </c>
      <c r="G66" s="53">
        <v>202</v>
      </c>
      <c r="H66" s="76">
        <f t="shared" si="128"/>
        <v>189.88</v>
      </c>
      <c r="I66" s="77">
        <v>39</v>
      </c>
      <c r="J66" s="58">
        <f t="shared" si="129"/>
        <v>36.659999999999997</v>
      </c>
      <c r="K66" s="37">
        <v>202</v>
      </c>
      <c r="L66" s="58">
        <f t="shared" si="130"/>
        <v>189.88</v>
      </c>
      <c r="M66" s="77">
        <v>119</v>
      </c>
      <c r="N66" s="58">
        <f t="shared" si="131"/>
        <v>111.86</v>
      </c>
      <c r="O66" s="77">
        <v>128</v>
      </c>
      <c r="P66" s="58">
        <f t="shared" si="132"/>
        <v>120.32</v>
      </c>
      <c r="Q66" s="77">
        <v>105</v>
      </c>
      <c r="R66" s="58">
        <f t="shared" si="133"/>
        <v>98.699999999999989</v>
      </c>
      <c r="S66" s="77">
        <v>113</v>
      </c>
      <c r="T66" s="58">
        <f t="shared" si="134"/>
        <v>106.22</v>
      </c>
      <c r="U66" s="57">
        <v>115</v>
      </c>
      <c r="V66" s="58">
        <f t="shared" si="135"/>
        <v>108.1</v>
      </c>
      <c r="W66" s="77">
        <v>105</v>
      </c>
      <c r="X66" s="58">
        <f t="shared" si="136"/>
        <v>98.699999999999989</v>
      </c>
      <c r="Y66" s="57">
        <v>117</v>
      </c>
      <c r="Z66" s="58">
        <f t="shared" si="137"/>
        <v>109.97999999999999</v>
      </c>
      <c r="AA66" s="57">
        <v>134</v>
      </c>
      <c r="AB66" s="58">
        <f t="shared" si="138"/>
        <v>125.96</v>
      </c>
      <c r="AC66" s="57">
        <v>121</v>
      </c>
      <c r="AD66" s="58">
        <f t="shared" si="139"/>
        <v>113.74</v>
      </c>
      <c r="AE66" s="57">
        <v>121</v>
      </c>
      <c r="AF66" s="58">
        <f t="shared" si="140"/>
        <v>113.74</v>
      </c>
      <c r="AG66" s="57">
        <v>131</v>
      </c>
      <c r="AH66" s="58">
        <f t="shared" si="141"/>
        <v>123.13999999999999</v>
      </c>
      <c r="AI66" s="61">
        <v>114</v>
      </c>
      <c r="AJ66" s="58">
        <f t="shared" si="142"/>
        <v>107.16</v>
      </c>
      <c r="AK66" s="61">
        <v>65</v>
      </c>
      <c r="AL66" s="58">
        <f t="shared" si="143"/>
        <v>61.099999999999994</v>
      </c>
      <c r="AM66" s="61">
        <v>18</v>
      </c>
      <c r="AN66" s="58">
        <f t="shared" si="144"/>
        <v>16.919999999999998</v>
      </c>
      <c r="AO66" s="61">
        <v>27</v>
      </c>
      <c r="AP66" s="58">
        <f t="shared" si="145"/>
        <v>25.38</v>
      </c>
      <c r="AQ66" s="57">
        <v>27.2</v>
      </c>
      <c r="AR66" s="58">
        <f t="shared" si="146"/>
        <v>25.567999999999998</v>
      </c>
      <c r="AS66" s="57">
        <v>27.7</v>
      </c>
      <c r="AT66" s="58">
        <f t="shared" si="147"/>
        <v>26.037999999999997</v>
      </c>
      <c r="AU66" s="57">
        <v>30.42</v>
      </c>
      <c r="AV66" s="58">
        <f t="shared" si="148"/>
        <v>28.594799999999999</v>
      </c>
      <c r="AW66" s="57">
        <v>24.32</v>
      </c>
      <c r="AX66" s="58">
        <f t="shared" si="149"/>
        <v>22.860799999999998</v>
      </c>
      <c r="AY66" s="57">
        <v>18.78</v>
      </c>
      <c r="AZ66" s="58">
        <f t="shared" si="150"/>
        <v>17.653200000000002</v>
      </c>
      <c r="BA66" s="57">
        <v>22</v>
      </c>
      <c r="BB66" s="58">
        <f t="shared" si="151"/>
        <v>20.68</v>
      </c>
      <c r="BC66" s="57">
        <v>23.5</v>
      </c>
      <c r="BD66" s="58">
        <f>$F66*BC66</f>
        <v>22.09</v>
      </c>
      <c r="BE66" s="57">
        <v>21.158333333333299</v>
      </c>
      <c r="BF66" s="58">
        <f t="shared" si="152"/>
        <v>19.888833333333299</v>
      </c>
      <c r="BG66" s="95">
        <v>19.974999999999998</v>
      </c>
      <c r="BH66" s="58">
        <f t="shared" si="153"/>
        <v>18.776499999999999</v>
      </c>
      <c r="BI66" s="57">
        <v>24.13</v>
      </c>
      <c r="BJ66" s="58">
        <f t="shared" si="154"/>
        <v>22.682199999999998</v>
      </c>
      <c r="BK66" s="62">
        <f t="shared" si="155"/>
        <v>39</v>
      </c>
      <c r="BL66" s="63">
        <v>36.659999999999997</v>
      </c>
      <c r="BO66" s="78">
        <v>113</v>
      </c>
      <c r="BP66" s="78">
        <v>2</v>
      </c>
      <c r="BQ66" s="78">
        <v>113.02</v>
      </c>
      <c r="BR66" s="34" t="s">
        <v>254</v>
      </c>
      <c r="BS66" s="65" t="s">
        <v>285</v>
      </c>
      <c r="BT66" s="65" t="s">
        <v>284</v>
      </c>
      <c r="BU66" s="37" t="s">
        <v>175</v>
      </c>
      <c r="BV66" s="66">
        <f t="shared" ref="BV66:BV125" si="156">IF(BE66="","",AVERAGE(BE66,BG66,BI66)*0.453592*365)</f>
        <v>3601.6893170222197</v>
      </c>
      <c r="BW66" s="66">
        <f t="shared" ref="BW66:BW125" si="157">IF(BE66="","",STDEV(BE66,BG66,BI66)*0.453592*365)</f>
        <v>354.41355299225</v>
      </c>
      <c r="BX66" s="66">
        <f t="shared" si="2"/>
        <v>9.8402033544989287</v>
      </c>
      <c r="BY66" s="67"/>
      <c r="BZ66" s="68">
        <v>65</v>
      </c>
      <c r="CA66" s="74" t="s">
        <v>63</v>
      </c>
      <c r="CB66" s="69">
        <f t="shared" si="6"/>
        <v>0</v>
      </c>
      <c r="CC66" s="69">
        <f t="shared" si="7"/>
        <v>0</v>
      </c>
      <c r="CD66" s="70"/>
      <c r="CE66" s="71"/>
      <c r="CF66" s="71"/>
      <c r="CG66" s="71">
        <v>65</v>
      </c>
      <c r="CH66" s="71" t="str">
        <f t="shared" ref="CH66:CQ81" si="158">IF(LOOKUP($CG66+CH$1/100,$BQ$2:$BQ$76,$BQ$2:$BQ$76)=  $CG66+CH$1/100,             LOOKUP($CG66+CH$1/100,$BQ$2:$BQ$76,$BV$2:$BV$76), "")</f>
        <v/>
      </c>
      <c r="CI66" s="71" t="str">
        <f t="shared" si="158"/>
        <v/>
      </c>
      <c r="CJ66" s="71" t="str">
        <f t="shared" si="158"/>
        <v/>
      </c>
      <c r="CK66" s="71" t="str">
        <f t="shared" si="158"/>
        <v/>
      </c>
      <c r="CL66" s="71" t="str">
        <f t="shared" si="158"/>
        <v/>
      </c>
      <c r="CM66" s="71" t="str">
        <f t="shared" si="158"/>
        <v/>
      </c>
      <c r="CN66" s="71" t="str">
        <f t="shared" si="158"/>
        <v/>
      </c>
      <c r="CO66" s="71" t="str">
        <f t="shared" si="158"/>
        <v/>
      </c>
      <c r="CP66" s="71" t="str">
        <f t="shared" si="158"/>
        <v/>
      </c>
      <c r="CQ66" s="71" t="str">
        <f t="shared" si="158"/>
        <v/>
      </c>
      <c r="CR66" s="71"/>
      <c r="CS66" s="71">
        <v>65</v>
      </c>
      <c r="CT66" s="71" t="str">
        <f t="shared" ref="CT66:DC81" si="159">IF(LOOKUP($CS66+CT$1/100,$BQ$2:$BQ$76,$BQ$2:$BQ$76)=  $CS66+CT$1/100,             LOOKUP($CS66+CT$1/100,$BQ$2:$BQ$76,$BW$2:$BW$76)^2, "")</f>
        <v/>
      </c>
      <c r="CU66" s="71" t="str">
        <f t="shared" si="159"/>
        <v/>
      </c>
      <c r="CV66" s="71" t="str">
        <f t="shared" si="159"/>
        <v/>
      </c>
      <c r="CW66" s="71" t="str">
        <f t="shared" si="159"/>
        <v/>
      </c>
      <c r="CX66" s="71" t="str">
        <f t="shared" si="159"/>
        <v/>
      </c>
      <c r="CY66" s="71" t="str">
        <f t="shared" si="159"/>
        <v/>
      </c>
      <c r="CZ66" s="71" t="str">
        <f t="shared" si="159"/>
        <v/>
      </c>
      <c r="DA66" s="71" t="str">
        <f t="shared" si="159"/>
        <v/>
      </c>
      <c r="DB66" s="71" t="str">
        <f t="shared" si="159"/>
        <v/>
      </c>
      <c r="DC66" s="72" t="str">
        <f t="shared" si="159"/>
        <v/>
      </c>
    </row>
    <row r="67" spans="1:107" x14ac:dyDescent="0.35">
      <c r="A67" s="52">
        <v>108</v>
      </c>
      <c r="B67" s="52">
        <v>66</v>
      </c>
      <c r="C67" s="52" t="s">
        <v>277</v>
      </c>
      <c r="D67" s="52">
        <v>1</v>
      </c>
      <c r="E67" s="80" t="s">
        <v>286</v>
      </c>
      <c r="F67" s="55">
        <v>0.94</v>
      </c>
      <c r="G67" s="53">
        <v>134</v>
      </c>
      <c r="H67" s="76">
        <f t="shared" si="128"/>
        <v>125.96</v>
      </c>
      <c r="I67" s="77">
        <v>26</v>
      </c>
      <c r="J67" s="58">
        <f t="shared" si="129"/>
        <v>24.439999999999998</v>
      </c>
      <c r="K67" s="37">
        <v>134</v>
      </c>
      <c r="L67" s="58">
        <f t="shared" si="130"/>
        <v>125.96</v>
      </c>
      <c r="M67" s="77">
        <v>89</v>
      </c>
      <c r="N67" s="58">
        <f t="shared" si="131"/>
        <v>83.66</v>
      </c>
      <c r="O67" s="77">
        <v>66</v>
      </c>
      <c r="P67" s="58">
        <f t="shared" si="132"/>
        <v>62.04</v>
      </c>
      <c r="Q67" s="77">
        <v>48</v>
      </c>
      <c r="R67" s="58">
        <f t="shared" si="133"/>
        <v>45.12</v>
      </c>
      <c r="S67" s="77">
        <v>35</v>
      </c>
      <c r="T67" s="58">
        <f t="shared" si="134"/>
        <v>32.9</v>
      </c>
      <c r="U67" s="57">
        <v>48</v>
      </c>
      <c r="V67" s="58">
        <f t="shared" si="135"/>
        <v>45.12</v>
      </c>
      <c r="W67" s="77">
        <v>46</v>
      </c>
      <c r="X67" s="58">
        <f t="shared" si="136"/>
        <v>43.239999999999995</v>
      </c>
      <c r="Y67" s="57">
        <v>63</v>
      </c>
      <c r="Z67" s="58">
        <f t="shared" si="137"/>
        <v>59.22</v>
      </c>
      <c r="AA67" s="57">
        <v>60</v>
      </c>
      <c r="AB67" s="58">
        <f t="shared" si="138"/>
        <v>56.4</v>
      </c>
      <c r="AC67" s="57">
        <v>47</v>
      </c>
      <c r="AD67" s="58">
        <f t="shared" si="139"/>
        <v>44.18</v>
      </c>
      <c r="AE67" s="57">
        <v>43</v>
      </c>
      <c r="AF67" s="58">
        <f t="shared" si="140"/>
        <v>40.419999999999995</v>
      </c>
      <c r="AG67" s="57">
        <v>51</v>
      </c>
      <c r="AH67" s="58">
        <f t="shared" si="141"/>
        <v>47.94</v>
      </c>
      <c r="AI67" s="61">
        <v>52</v>
      </c>
      <c r="AJ67" s="58">
        <f t="shared" si="142"/>
        <v>48.879999999999995</v>
      </c>
      <c r="AK67" s="61">
        <v>60</v>
      </c>
      <c r="AL67" s="58">
        <f t="shared" si="143"/>
        <v>56.4</v>
      </c>
      <c r="AM67" s="61">
        <v>50</v>
      </c>
      <c r="AN67" s="58">
        <f t="shared" si="144"/>
        <v>47</v>
      </c>
      <c r="AO67" s="61">
        <v>57</v>
      </c>
      <c r="AP67" s="58">
        <f t="shared" si="145"/>
        <v>53.58</v>
      </c>
      <c r="AQ67" s="57">
        <v>52</v>
      </c>
      <c r="AR67" s="58">
        <f t="shared" si="146"/>
        <v>48.879999999999995</v>
      </c>
      <c r="AS67" s="57">
        <v>17.8</v>
      </c>
      <c r="AT67" s="58">
        <f t="shared" si="147"/>
        <v>16.731999999999999</v>
      </c>
      <c r="AU67" s="57">
        <v>12.86</v>
      </c>
      <c r="AV67" s="58">
        <f t="shared" si="148"/>
        <v>12.088399999999998</v>
      </c>
      <c r="AW67" s="57">
        <v>15.8</v>
      </c>
      <c r="AX67" s="58">
        <f t="shared" si="149"/>
        <v>14.852</v>
      </c>
      <c r="AY67" s="57">
        <v>15.53</v>
      </c>
      <c r="AZ67" s="58">
        <f t="shared" si="150"/>
        <v>14.598199999999999</v>
      </c>
      <c r="BA67" s="57">
        <v>9</v>
      </c>
      <c r="BB67" s="58">
        <f t="shared" si="151"/>
        <v>8.4599999999999991</v>
      </c>
      <c r="BC67" s="57">
        <v>7.6</v>
      </c>
      <c r="BE67" s="57">
        <v>7.0454545454545503</v>
      </c>
      <c r="BF67" s="58">
        <f t="shared" si="152"/>
        <v>6.6227272727272766</v>
      </c>
      <c r="BG67" s="95">
        <v>7.7166666666666659</v>
      </c>
      <c r="BH67" s="58">
        <f t="shared" si="153"/>
        <v>7.2536666666666658</v>
      </c>
      <c r="BI67" s="57">
        <v>7.49</v>
      </c>
      <c r="BJ67" s="58">
        <f t="shared" si="154"/>
        <v>7.0405999999999995</v>
      </c>
      <c r="BK67" s="62">
        <f t="shared" si="155"/>
        <v>26</v>
      </c>
      <c r="BL67" s="63">
        <v>24.44</v>
      </c>
      <c r="BO67" s="100">
        <v>122</v>
      </c>
      <c r="BP67" s="100">
        <v>1</v>
      </c>
      <c r="BQ67" s="100">
        <v>122.01</v>
      </c>
      <c r="BR67" s="34" t="s">
        <v>254</v>
      </c>
      <c r="BS67" s="65" t="s">
        <v>286</v>
      </c>
      <c r="BT67" s="65" t="s">
        <v>287</v>
      </c>
      <c r="BU67" s="37" t="s">
        <v>175</v>
      </c>
      <c r="BV67" s="66">
        <f t="shared" si="156"/>
        <v>1228.0284067232328</v>
      </c>
      <c r="BW67" s="66">
        <f t="shared" si="157"/>
        <v>56.530650375365994</v>
      </c>
      <c r="BX67" s="66">
        <f t="shared" ref="BX67:BX125" si="160">IF(BW67="","",IF(BW67=0,"",BW67/BV67*100))</f>
        <v>4.6033666701739913</v>
      </c>
      <c r="BY67" s="67"/>
      <c r="BZ67" s="68">
        <v>66</v>
      </c>
      <c r="CA67" s="74" t="s">
        <v>64</v>
      </c>
      <c r="CB67" s="69">
        <f t="shared" ref="CB67:CB117" si="161">SUM(CH67:CQ67)</f>
        <v>117051.68355999999</v>
      </c>
      <c r="CC67" s="69">
        <f t="shared" ref="CC67:CC117" si="162">SQRT(SUM(CT67:DC67))</f>
        <v>18519.667638394167</v>
      </c>
      <c r="CD67" s="70"/>
      <c r="CE67" s="71"/>
      <c r="CF67" s="71"/>
      <c r="CG67" s="71">
        <v>66</v>
      </c>
      <c r="CH67" s="71">
        <f t="shared" si="158"/>
        <v>1324.48864</v>
      </c>
      <c r="CI67" s="71">
        <f t="shared" si="158"/>
        <v>7560.6226533333329</v>
      </c>
      <c r="CJ67" s="71">
        <f t="shared" si="158"/>
        <v>103199.73986666667</v>
      </c>
      <c r="CK67" s="71">
        <f t="shared" si="158"/>
        <v>1655.6107999999999</v>
      </c>
      <c r="CL67" s="71">
        <f t="shared" si="158"/>
        <v>1655.6107999999999</v>
      </c>
      <c r="CM67" s="71">
        <f t="shared" si="158"/>
        <v>1655.6107999999999</v>
      </c>
      <c r="CN67" s="71" t="str">
        <f t="shared" si="158"/>
        <v/>
      </c>
      <c r="CO67" s="71" t="str">
        <f t="shared" si="158"/>
        <v/>
      </c>
      <c r="CP67" s="71" t="str">
        <f t="shared" si="158"/>
        <v/>
      </c>
      <c r="CQ67" s="71" t="str">
        <f t="shared" si="158"/>
        <v/>
      </c>
      <c r="CR67" s="71"/>
      <c r="CS67" s="71">
        <v>66</v>
      </c>
      <c r="CT67" s="71">
        <f t="shared" si="159"/>
        <v>0</v>
      </c>
      <c r="CU67" s="71">
        <f t="shared" si="159"/>
        <v>886271.90248145093</v>
      </c>
      <c r="CV67" s="71">
        <f t="shared" si="159"/>
        <v>342091817.53410268</v>
      </c>
      <c r="CW67" s="71">
        <f t="shared" si="159"/>
        <v>0</v>
      </c>
      <c r="CX67" s="71">
        <f t="shared" si="159"/>
        <v>0</v>
      </c>
      <c r="CY67" s="71">
        <f t="shared" si="159"/>
        <v>0</v>
      </c>
      <c r="CZ67" s="71" t="str">
        <f t="shared" si="159"/>
        <v/>
      </c>
      <c r="DA67" s="71" t="str">
        <f t="shared" si="159"/>
        <v/>
      </c>
      <c r="DB67" s="71" t="str">
        <f t="shared" si="159"/>
        <v/>
      </c>
      <c r="DC67" s="72" t="str">
        <f t="shared" si="159"/>
        <v/>
      </c>
    </row>
    <row r="68" spans="1:107" x14ac:dyDescent="0.35">
      <c r="A68" s="52">
        <v>80</v>
      </c>
      <c r="B68" s="52">
        <v>67</v>
      </c>
      <c r="C68" s="52">
        <v>5</v>
      </c>
      <c r="D68" s="52">
        <v>1</v>
      </c>
      <c r="E68" s="80" t="s">
        <v>288</v>
      </c>
      <c r="F68" s="55">
        <v>0.79</v>
      </c>
      <c r="G68" s="53">
        <v>1113</v>
      </c>
      <c r="H68" s="76">
        <f t="shared" si="128"/>
        <v>879.2700000000001</v>
      </c>
      <c r="I68" s="77">
        <v>406</v>
      </c>
      <c r="J68" s="58">
        <f t="shared" si="129"/>
        <v>320.74</v>
      </c>
      <c r="K68" s="57"/>
      <c r="L68" s="58">
        <f t="shared" si="130"/>
        <v>0</v>
      </c>
      <c r="M68" s="77">
        <v>926</v>
      </c>
      <c r="N68" s="58">
        <f>PRODUCT(F68*M68)</f>
        <v>731.54000000000008</v>
      </c>
      <c r="O68" s="77">
        <v>831</v>
      </c>
      <c r="P68" s="58">
        <f>PRODUCT(F68*O68)</f>
        <v>656.49</v>
      </c>
      <c r="Q68" s="77">
        <v>649</v>
      </c>
      <c r="R68" s="58">
        <f>PRODUCT(F68*Q68)</f>
        <v>512.71</v>
      </c>
      <c r="S68" s="77">
        <v>768</v>
      </c>
      <c r="T68" s="58">
        <f>PRODUCT(F68*S68)</f>
        <v>606.72</v>
      </c>
      <c r="U68" s="57">
        <v>958</v>
      </c>
      <c r="V68" s="58">
        <f t="shared" si="135"/>
        <v>756.82</v>
      </c>
      <c r="W68" s="77">
        <v>823</v>
      </c>
      <c r="X68" s="58">
        <f t="shared" si="136"/>
        <v>650.17000000000007</v>
      </c>
      <c r="Y68" s="57">
        <v>805</v>
      </c>
      <c r="Z68" s="58">
        <f t="shared" si="137"/>
        <v>635.95000000000005</v>
      </c>
      <c r="AA68" s="57">
        <v>735</v>
      </c>
      <c r="AB68" s="58">
        <f t="shared" si="138"/>
        <v>580.65</v>
      </c>
      <c r="AC68" s="57">
        <v>457</v>
      </c>
      <c r="AD68" s="58">
        <f t="shared" si="139"/>
        <v>361.03000000000003</v>
      </c>
      <c r="AE68" s="57">
        <v>417</v>
      </c>
      <c r="AF68" s="58">
        <f t="shared" si="140"/>
        <v>329.43</v>
      </c>
      <c r="AG68" s="57">
        <v>384</v>
      </c>
      <c r="AH68" s="58">
        <f t="shared" si="141"/>
        <v>303.36</v>
      </c>
      <c r="AI68" s="61">
        <v>535</v>
      </c>
      <c r="AJ68" s="58">
        <f t="shared" si="142"/>
        <v>422.65000000000003</v>
      </c>
      <c r="AK68" s="61">
        <v>408</v>
      </c>
      <c r="AL68" s="58">
        <f>PRODUCT(F68,AK68)</f>
        <v>322.32</v>
      </c>
      <c r="AM68" s="61">
        <v>488</v>
      </c>
      <c r="AN68" s="58">
        <f>PRODUCT(F68,AM68)</f>
        <v>385.52000000000004</v>
      </c>
      <c r="AO68" s="61">
        <v>431</v>
      </c>
      <c r="AP68" s="58">
        <f t="shared" si="145"/>
        <v>340.49</v>
      </c>
      <c r="AQ68" s="61">
        <v>325</v>
      </c>
      <c r="AR68" s="58">
        <f>PRODUCT( F68*AQ68)</f>
        <v>256.75</v>
      </c>
      <c r="AS68" s="57">
        <v>388</v>
      </c>
      <c r="AT68" s="58">
        <f>PRODUCT( F68*AS68)</f>
        <v>306.52000000000004</v>
      </c>
      <c r="AU68" s="57">
        <v>338</v>
      </c>
      <c r="AV68" s="58">
        <f>PRODUCT( F68*AU68)</f>
        <v>267.02000000000004</v>
      </c>
      <c r="AW68" s="57">
        <v>296</v>
      </c>
      <c r="AX68" s="58">
        <f>PRODUCT(F68*AW68)</f>
        <v>233.84</v>
      </c>
      <c r="AY68" s="57">
        <v>273</v>
      </c>
      <c r="AZ68" s="58">
        <f>PRODUCT(F68*AY68)</f>
        <v>215.67000000000002</v>
      </c>
      <c r="BA68" s="57">
        <v>296</v>
      </c>
      <c r="BB68" s="58">
        <f>PRODUCT(F68*BA68)</f>
        <v>233.84</v>
      </c>
      <c r="BC68" s="57">
        <v>299</v>
      </c>
      <c r="BD68" s="58">
        <f>PRODUCT(F68*BC68)</f>
        <v>236.21</v>
      </c>
      <c r="BE68" s="57">
        <v>310</v>
      </c>
      <c r="BF68" s="58">
        <f>PRODUCT(F68*BE68)</f>
        <v>244.9</v>
      </c>
      <c r="BG68" s="57">
        <v>381</v>
      </c>
      <c r="BH68" s="58">
        <f>PRODUCT(F68*BG68)</f>
        <v>300.99</v>
      </c>
      <c r="BI68" s="57">
        <v>308</v>
      </c>
      <c r="BJ68" s="58">
        <f>PRODUCT(F68*BI68)</f>
        <v>243.32000000000002</v>
      </c>
      <c r="BK68" s="62">
        <f t="shared" si="155"/>
        <v>406</v>
      </c>
      <c r="BL68" s="63">
        <f>J68</f>
        <v>320.74</v>
      </c>
      <c r="BO68" s="100">
        <v>122</v>
      </c>
      <c r="BP68" s="100">
        <v>2</v>
      </c>
      <c r="BQ68" s="100">
        <v>122.02</v>
      </c>
      <c r="BR68" s="34" t="s">
        <v>179</v>
      </c>
      <c r="BS68" s="65" t="s">
        <v>288</v>
      </c>
      <c r="BT68" s="65" t="s">
        <v>289</v>
      </c>
      <c r="BU68" s="37" t="s">
        <v>175</v>
      </c>
      <c r="BV68" s="66">
        <f t="shared" si="156"/>
        <v>55131.839639999998</v>
      </c>
      <c r="BW68" s="66">
        <f t="shared" si="157"/>
        <v>6884.2359578543719</v>
      </c>
      <c r="BX68" s="66">
        <f t="shared" si="160"/>
        <v>12.486860592367442</v>
      </c>
      <c r="BY68" s="67"/>
      <c r="BZ68" s="68">
        <v>67</v>
      </c>
      <c r="CA68" s="74" t="s">
        <v>65</v>
      </c>
      <c r="CB68" s="69">
        <f t="shared" si="161"/>
        <v>0</v>
      </c>
      <c r="CC68" s="69">
        <f t="shared" si="162"/>
        <v>0</v>
      </c>
      <c r="CD68" s="70"/>
      <c r="CE68" s="71"/>
      <c r="CF68" s="71"/>
      <c r="CG68" s="71">
        <v>67</v>
      </c>
      <c r="CH68" s="71" t="str">
        <f t="shared" si="158"/>
        <v/>
      </c>
      <c r="CI68" s="71" t="str">
        <f t="shared" si="158"/>
        <v/>
      </c>
      <c r="CJ68" s="71" t="str">
        <f t="shared" si="158"/>
        <v/>
      </c>
      <c r="CK68" s="71" t="str">
        <f t="shared" si="158"/>
        <v/>
      </c>
      <c r="CL68" s="71" t="str">
        <f t="shared" si="158"/>
        <v/>
      </c>
      <c r="CM68" s="71" t="str">
        <f t="shared" si="158"/>
        <v/>
      </c>
      <c r="CN68" s="71" t="str">
        <f t="shared" si="158"/>
        <v/>
      </c>
      <c r="CO68" s="71" t="str">
        <f t="shared" si="158"/>
        <v/>
      </c>
      <c r="CP68" s="71" t="str">
        <f t="shared" si="158"/>
        <v/>
      </c>
      <c r="CQ68" s="71" t="str">
        <f t="shared" si="158"/>
        <v/>
      </c>
      <c r="CR68" s="71"/>
      <c r="CS68" s="71">
        <v>67</v>
      </c>
      <c r="CT68" s="71" t="str">
        <f t="shared" si="159"/>
        <v/>
      </c>
      <c r="CU68" s="71" t="str">
        <f t="shared" si="159"/>
        <v/>
      </c>
      <c r="CV68" s="71" t="str">
        <f t="shared" si="159"/>
        <v/>
      </c>
      <c r="CW68" s="71" t="str">
        <f t="shared" si="159"/>
        <v/>
      </c>
      <c r="CX68" s="71" t="str">
        <f t="shared" si="159"/>
        <v/>
      </c>
      <c r="CY68" s="71" t="str">
        <f t="shared" si="159"/>
        <v/>
      </c>
      <c r="CZ68" s="71" t="str">
        <f t="shared" si="159"/>
        <v/>
      </c>
      <c r="DA68" s="71" t="str">
        <f t="shared" si="159"/>
        <v/>
      </c>
      <c r="DB68" s="71" t="str">
        <f t="shared" si="159"/>
        <v/>
      </c>
      <c r="DC68" s="72" t="str">
        <f t="shared" si="159"/>
        <v/>
      </c>
    </row>
    <row r="69" spans="1:107" x14ac:dyDescent="0.35">
      <c r="A69" s="52">
        <v>82</v>
      </c>
      <c r="B69" s="52">
        <v>68</v>
      </c>
      <c r="C69" s="52">
        <v>6</v>
      </c>
      <c r="D69" s="52">
        <v>1</v>
      </c>
      <c r="E69" s="80" t="s">
        <v>290</v>
      </c>
      <c r="F69" s="55">
        <v>0.93</v>
      </c>
      <c r="G69" s="53">
        <v>1313</v>
      </c>
      <c r="H69" s="76">
        <f t="shared" si="128"/>
        <v>1221.0900000000001</v>
      </c>
      <c r="I69" s="77">
        <v>479</v>
      </c>
      <c r="J69" s="58">
        <f t="shared" si="129"/>
        <v>445.47</v>
      </c>
      <c r="K69" s="57"/>
      <c r="L69" s="58">
        <f t="shared" si="130"/>
        <v>0</v>
      </c>
      <c r="M69" s="77">
        <v>831</v>
      </c>
      <c r="N69" s="58">
        <f>PRODUCT(F69*M69)</f>
        <v>772.83</v>
      </c>
      <c r="O69" s="77">
        <v>1017</v>
      </c>
      <c r="P69" s="58">
        <f>PRODUCT(F69*O69)</f>
        <v>945.81000000000006</v>
      </c>
      <c r="Q69" s="77">
        <v>687</v>
      </c>
      <c r="R69" s="58">
        <f>PRODUCT(F69*Q69)</f>
        <v>638.91000000000008</v>
      </c>
      <c r="S69" s="77">
        <v>901</v>
      </c>
      <c r="T69" s="58">
        <f>PRODUCT(F69*S69)</f>
        <v>837.93000000000006</v>
      </c>
      <c r="U69" s="57">
        <v>740</v>
      </c>
      <c r="V69" s="58">
        <f t="shared" si="135"/>
        <v>688.2</v>
      </c>
      <c r="W69" s="77">
        <v>531</v>
      </c>
      <c r="X69" s="58">
        <f t="shared" si="136"/>
        <v>493.83000000000004</v>
      </c>
      <c r="Y69" s="57">
        <v>453</v>
      </c>
      <c r="Z69" s="58">
        <f t="shared" si="137"/>
        <v>421.29</v>
      </c>
      <c r="AA69" s="57">
        <v>410</v>
      </c>
      <c r="AB69" s="58">
        <f t="shared" si="138"/>
        <v>381.3</v>
      </c>
      <c r="AC69" s="57">
        <v>463</v>
      </c>
      <c r="AD69" s="58">
        <f t="shared" si="139"/>
        <v>430.59000000000003</v>
      </c>
      <c r="AE69" s="57">
        <v>441</v>
      </c>
      <c r="AF69" s="58">
        <f t="shared" si="140"/>
        <v>410.13</v>
      </c>
      <c r="AG69" s="57">
        <v>555</v>
      </c>
      <c r="AH69" s="58">
        <f t="shared" si="141"/>
        <v>516.15</v>
      </c>
      <c r="AI69" s="61">
        <v>534</v>
      </c>
      <c r="AJ69" s="58">
        <f t="shared" si="142"/>
        <v>496.62</v>
      </c>
      <c r="AK69" s="61">
        <v>697</v>
      </c>
      <c r="AL69" s="58">
        <f>PRODUCT(F69,AK69)</f>
        <v>648.21</v>
      </c>
      <c r="AM69" s="61">
        <v>479</v>
      </c>
      <c r="AN69" s="58">
        <f>PRODUCT(F69,AM69)</f>
        <v>445.47</v>
      </c>
      <c r="AO69" s="61">
        <v>461</v>
      </c>
      <c r="AP69" s="58">
        <f t="shared" si="145"/>
        <v>428.73</v>
      </c>
      <c r="AQ69" s="61">
        <v>459</v>
      </c>
      <c r="AR69" s="58">
        <f>PRODUCT( F69*AQ69)</f>
        <v>426.87</v>
      </c>
      <c r="AS69" s="57">
        <v>572</v>
      </c>
      <c r="AT69" s="58">
        <f>PRODUCT( F69*AS69)</f>
        <v>531.96</v>
      </c>
      <c r="AU69" s="57">
        <v>430</v>
      </c>
      <c r="AV69" s="58">
        <f>PRODUCT( F69*AU69)</f>
        <v>399.90000000000003</v>
      </c>
      <c r="AW69" s="57">
        <v>443</v>
      </c>
      <c r="AX69" s="58">
        <f>PRODUCT(F69*AW69)</f>
        <v>411.99</v>
      </c>
      <c r="AY69" s="57">
        <v>475</v>
      </c>
      <c r="AZ69" s="58">
        <f>PRODUCT(F69*AY69)</f>
        <v>441.75</v>
      </c>
      <c r="BA69" s="57">
        <v>441</v>
      </c>
      <c r="BB69" s="58">
        <f>PRODUCT(F69*BA69)</f>
        <v>410.13</v>
      </c>
      <c r="BC69" s="57">
        <v>443</v>
      </c>
      <c r="BD69" s="58">
        <f>PRODUCT(F69*BC69)</f>
        <v>411.99</v>
      </c>
      <c r="BE69" s="57">
        <v>482</v>
      </c>
      <c r="BF69" s="58">
        <f>PRODUCT(F69*BE69)</f>
        <v>448.26000000000005</v>
      </c>
      <c r="BG69" s="57">
        <v>569</v>
      </c>
      <c r="BH69" s="58">
        <f>PRODUCT(F69*BG69)</f>
        <v>529.17000000000007</v>
      </c>
      <c r="BI69" s="57">
        <v>508</v>
      </c>
      <c r="BJ69" s="58">
        <f>PRODUCT(F69*BI69)</f>
        <v>472.44</v>
      </c>
      <c r="BK69" s="62">
        <f t="shared" si="155"/>
        <v>479</v>
      </c>
      <c r="BL69" s="63">
        <f>J69</f>
        <v>445.47</v>
      </c>
      <c r="BO69" s="100">
        <v>122</v>
      </c>
      <c r="BP69" s="100">
        <v>3</v>
      </c>
      <c r="BQ69" s="100">
        <v>122.03</v>
      </c>
      <c r="BR69" s="34" t="s">
        <v>179</v>
      </c>
      <c r="BS69" s="65" t="s">
        <v>291</v>
      </c>
      <c r="BT69" s="65" t="s">
        <v>292</v>
      </c>
      <c r="BU69" s="37" t="s">
        <v>175</v>
      </c>
      <c r="BV69" s="66">
        <f t="shared" si="156"/>
        <v>86036.574573333332</v>
      </c>
      <c r="BW69" s="66">
        <f t="shared" si="157"/>
        <v>7393.6199806322975</v>
      </c>
      <c r="BX69" s="66">
        <f t="shared" si="160"/>
        <v>8.5935778095516113</v>
      </c>
      <c r="BY69" s="67"/>
      <c r="BZ69" s="68">
        <v>68</v>
      </c>
      <c r="CA69" s="74" t="s">
        <v>66</v>
      </c>
      <c r="CB69" s="69">
        <f t="shared" si="161"/>
        <v>3531.9697066666663</v>
      </c>
      <c r="CC69" s="69">
        <f t="shared" si="162"/>
        <v>833.30582861641085</v>
      </c>
      <c r="CD69" s="70"/>
      <c r="CE69" s="71"/>
      <c r="CF69" s="71"/>
      <c r="CG69" s="71">
        <v>68</v>
      </c>
      <c r="CH69" s="71">
        <f t="shared" si="158"/>
        <v>3531.9697066666663</v>
      </c>
      <c r="CI69" s="71" t="str">
        <f t="shared" si="158"/>
        <v/>
      </c>
      <c r="CJ69" s="71" t="str">
        <f t="shared" si="158"/>
        <v/>
      </c>
      <c r="CK69" s="71" t="str">
        <f t="shared" si="158"/>
        <v/>
      </c>
      <c r="CL69" s="71" t="str">
        <f t="shared" si="158"/>
        <v/>
      </c>
      <c r="CM69" s="71" t="str">
        <f t="shared" si="158"/>
        <v/>
      </c>
      <c r="CN69" s="71" t="str">
        <f t="shared" si="158"/>
        <v/>
      </c>
      <c r="CO69" s="71" t="str">
        <f t="shared" si="158"/>
        <v/>
      </c>
      <c r="CP69" s="71" t="str">
        <f t="shared" si="158"/>
        <v/>
      </c>
      <c r="CQ69" s="71" t="str">
        <f t="shared" si="158"/>
        <v/>
      </c>
      <c r="CR69" s="71"/>
      <c r="CS69" s="71">
        <v>68</v>
      </c>
      <c r="CT69" s="71">
        <f t="shared" si="159"/>
        <v>694398.6040060831</v>
      </c>
      <c r="CU69" s="71" t="str">
        <f t="shared" si="159"/>
        <v/>
      </c>
      <c r="CV69" s="71" t="str">
        <f t="shared" si="159"/>
        <v/>
      </c>
      <c r="CW69" s="71" t="str">
        <f t="shared" si="159"/>
        <v/>
      </c>
      <c r="CX69" s="71" t="str">
        <f t="shared" si="159"/>
        <v/>
      </c>
      <c r="CY69" s="71" t="str">
        <f t="shared" si="159"/>
        <v/>
      </c>
      <c r="CZ69" s="71" t="str">
        <f t="shared" si="159"/>
        <v/>
      </c>
      <c r="DA69" s="71" t="str">
        <f t="shared" si="159"/>
        <v/>
      </c>
      <c r="DB69" s="71" t="str">
        <f t="shared" si="159"/>
        <v/>
      </c>
      <c r="DC69" s="72" t="str">
        <f t="shared" si="159"/>
        <v/>
      </c>
    </row>
    <row r="70" spans="1:107" x14ac:dyDescent="0.35">
      <c r="A70" s="52">
        <v>89</v>
      </c>
      <c r="B70" s="52">
        <v>69</v>
      </c>
      <c r="C70" s="52">
        <v>7</v>
      </c>
      <c r="D70" s="52">
        <v>1</v>
      </c>
      <c r="E70" s="80" t="s">
        <v>293</v>
      </c>
      <c r="F70" s="55">
        <v>0.83</v>
      </c>
      <c r="G70" s="53">
        <v>563</v>
      </c>
      <c r="H70" s="76">
        <f t="shared" si="128"/>
        <v>467.28999999999996</v>
      </c>
      <c r="I70" s="77">
        <v>219</v>
      </c>
      <c r="J70" s="58">
        <f t="shared" si="129"/>
        <v>181.76999999999998</v>
      </c>
      <c r="K70" s="57">
        <f>G70</f>
        <v>563</v>
      </c>
      <c r="L70" s="58">
        <f t="shared" si="130"/>
        <v>467.28999999999996</v>
      </c>
      <c r="M70" s="77">
        <v>509</v>
      </c>
      <c r="N70" s="58">
        <f>SUM(M70)*F70</f>
        <v>422.46999999999997</v>
      </c>
      <c r="O70" s="77">
        <v>516</v>
      </c>
      <c r="P70" s="58">
        <f>SUM(O70)*F70</f>
        <v>428.28</v>
      </c>
      <c r="Q70" s="77">
        <v>529</v>
      </c>
      <c r="R70" s="58">
        <f>SUM(Q70)*F70</f>
        <v>439.07</v>
      </c>
      <c r="S70" s="77">
        <v>605</v>
      </c>
      <c r="T70" s="58">
        <f>SUM(S70)*F70</f>
        <v>502.15</v>
      </c>
      <c r="U70" s="57">
        <v>689</v>
      </c>
      <c r="V70" s="58">
        <f t="shared" si="135"/>
        <v>571.87</v>
      </c>
      <c r="W70" s="77">
        <v>782</v>
      </c>
      <c r="X70" s="58">
        <f t="shared" si="136"/>
        <v>649.05999999999995</v>
      </c>
      <c r="Y70" s="57">
        <v>810</v>
      </c>
      <c r="Z70" s="58">
        <f t="shared" si="137"/>
        <v>672.3</v>
      </c>
      <c r="AA70" s="57">
        <v>776</v>
      </c>
      <c r="AB70" s="58">
        <f t="shared" si="138"/>
        <v>644.07999999999993</v>
      </c>
      <c r="AC70" s="57">
        <v>784</v>
      </c>
      <c r="AD70" s="58">
        <f t="shared" si="139"/>
        <v>650.71999999999991</v>
      </c>
      <c r="AE70" s="57">
        <v>689</v>
      </c>
      <c r="AF70" s="58">
        <f t="shared" si="140"/>
        <v>571.87</v>
      </c>
      <c r="AG70" s="57">
        <v>632</v>
      </c>
      <c r="AH70" s="58">
        <f t="shared" si="141"/>
        <v>524.55999999999995</v>
      </c>
      <c r="AI70" s="61">
        <v>662</v>
      </c>
      <c r="AJ70" s="58">
        <f t="shared" si="142"/>
        <v>549.45999999999992</v>
      </c>
      <c r="AK70" s="61">
        <v>671</v>
      </c>
      <c r="AL70" s="58">
        <f>PRODUCT(F70*AK70)</f>
        <v>556.92999999999995</v>
      </c>
      <c r="AM70" s="61">
        <v>628</v>
      </c>
      <c r="AN70" s="58">
        <f>F70*AM70</f>
        <v>521.24</v>
      </c>
      <c r="AO70" s="61">
        <v>633</v>
      </c>
      <c r="AP70" s="58">
        <f t="shared" si="145"/>
        <v>525.39</v>
      </c>
      <c r="AQ70" s="57">
        <v>669</v>
      </c>
      <c r="AR70" s="58">
        <f>$F70*AQ70</f>
        <v>555.27</v>
      </c>
      <c r="AS70" s="57">
        <v>741</v>
      </c>
      <c r="AT70" s="58">
        <f>$F70*AS70</f>
        <v>615.03</v>
      </c>
      <c r="AU70" s="57">
        <v>710.33</v>
      </c>
      <c r="AV70" s="58">
        <f>$F70*AU70</f>
        <v>589.57389999999998</v>
      </c>
      <c r="AW70" s="57">
        <v>695</v>
      </c>
      <c r="AX70" s="58">
        <f>$F70*AW70</f>
        <v>576.85</v>
      </c>
      <c r="AY70" s="57">
        <v>721</v>
      </c>
      <c r="AZ70" s="58">
        <f>$F70*AY70</f>
        <v>598.42999999999995</v>
      </c>
      <c r="BA70" s="57">
        <v>733</v>
      </c>
      <c r="BB70" s="58">
        <f>$F70*BA70</f>
        <v>608.39</v>
      </c>
      <c r="BC70" s="57">
        <v>761.75</v>
      </c>
      <c r="BD70" s="58">
        <f>$F70*BC70</f>
        <v>632.25249999999994</v>
      </c>
      <c r="BE70" s="57">
        <v>743.33333333333303</v>
      </c>
      <c r="BF70" s="58">
        <f>$F70*BE70</f>
        <v>616.96666666666636</v>
      </c>
      <c r="BG70" s="95">
        <v>729.75</v>
      </c>
      <c r="BH70" s="58">
        <f>$F70*BG70</f>
        <v>605.6925</v>
      </c>
      <c r="BI70" s="57">
        <v>735.08</v>
      </c>
      <c r="BJ70" s="58">
        <f>$F70*BI70</f>
        <v>610.1164</v>
      </c>
      <c r="BK70" s="62">
        <f t="shared" si="155"/>
        <v>219</v>
      </c>
      <c r="BL70" s="96">
        <f>J70</f>
        <v>181.76999999999998</v>
      </c>
      <c r="BO70" s="100">
        <v>122</v>
      </c>
      <c r="BP70" s="100">
        <v>4</v>
      </c>
      <c r="BQ70" s="100">
        <v>122.04</v>
      </c>
      <c r="BR70" s="34" t="s">
        <v>254</v>
      </c>
      <c r="BS70" s="65" t="s">
        <v>293</v>
      </c>
      <c r="BT70" s="65" t="s">
        <v>292</v>
      </c>
      <c r="BU70" s="37" t="s">
        <v>175</v>
      </c>
      <c r="BV70" s="66">
        <f t="shared" si="156"/>
        <v>121861.9687610222</v>
      </c>
      <c r="BW70" s="66">
        <f t="shared" si="157"/>
        <v>1133.0825728751533</v>
      </c>
      <c r="BX70" s="66">
        <f t="shared" si="160"/>
        <v>0.92980819561284811</v>
      </c>
      <c r="BY70" s="67"/>
      <c r="BZ70" s="68">
        <v>69</v>
      </c>
      <c r="CA70" s="74" t="s">
        <v>67</v>
      </c>
      <c r="CB70" s="69">
        <f t="shared" si="161"/>
        <v>0</v>
      </c>
      <c r="CC70" s="69">
        <f t="shared" si="162"/>
        <v>0</v>
      </c>
      <c r="CD70" s="70"/>
      <c r="CE70" s="71"/>
      <c r="CF70" s="71"/>
      <c r="CG70" s="71">
        <v>69</v>
      </c>
      <c r="CH70" s="71" t="str">
        <f t="shared" si="158"/>
        <v/>
      </c>
      <c r="CI70" s="71" t="str">
        <f t="shared" si="158"/>
        <v/>
      </c>
      <c r="CJ70" s="71" t="str">
        <f t="shared" si="158"/>
        <v/>
      </c>
      <c r="CK70" s="71" t="str">
        <f t="shared" si="158"/>
        <v/>
      </c>
      <c r="CL70" s="71" t="str">
        <f t="shared" si="158"/>
        <v/>
      </c>
      <c r="CM70" s="71" t="str">
        <f t="shared" si="158"/>
        <v/>
      </c>
      <c r="CN70" s="71" t="str">
        <f t="shared" si="158"/>
        <v/>
      </c>
      <c r="CO70" s="71" t="str">
        <f t="shared" si="158"/>
        <v/>
      </c>
      <c r="CP70" s="71" t="str">
        <f t="shared" si="158"/>
        <v/>
      </c>
      <c r="CQ70" s="71" t="str">
        <f t="shared" si="158"/>
        <v/>
      </c>
      <c r="CR70" s="71"/>
      <c r="CS70" s="71">
        <v>69</v>
      </c>
      <c r="CT70" s="71" t="str">
        <f t="shared" si="159"/>
        <v/>
      </c>
      <c r="CU70" s="71" t="str">
        <f t="shared" si="159"/>
        <v/>
      </c>
      <c r="CV70" s="71" t="str">
        <f t="shared" si="159"/>
        <v/>
      </c>
      <c r="CW70" s="71" t="str">
        <f t="shared" si="159"/>
        <v/>
      </c>
      <c r="CX70" s="71" t="str">
        <f t="shared" si="159"/>
        <v/>
      </c>
      <c r="CY70" s="71" t="str">
        <f t="shared" si="159"/>
        <v/>
      </c>
      <c r="CZ70" s="71" t="str">
        <f t="shared" si="159"/>
        <v/>
      </c>
      <c r="DA70" s="71" t="str">
        <f t="shared" si="159"/>
        <v/>
      </c>
      <c r="DB70" s="71" t="str">
        <f t="shared" si="159"/>
        <v/>
      </c>
      <c r="DC70" s="72" t="str">
        <f t="shared" si="159"/>
        <v/>
      </c>
    </row>
    <row r="71" spans="1:107" x14ac:dyDescent="0.35">
      <c r="A71" s="52">
        <v>90</v>
      </c>
      <c r="B71" s="52">
        <v>70</v>
      </c>
      <c r="C71" s="52">
        <v>7</v>
      </c>
      <c r="D71" s="52">
        <v>1</v>
      </c>
      <c r="E71" s="80" t="s">
        <v>294</v>
      </c>
      <c r="F71" s="55">
        <v>0.83</v>
      </c>
      <c r="G71" s="53">
        <v>338</v>
      </c>
      <c r="H71" s="76">
        <f t="shared" si="128"/>
        <v>280.53999999999996</v>
      </c>
      <c r="I71" s="77">
        <v>131</v>
      </c>
      <c r="J71" s="58">
        <f t="shared" si="129"/>
        <v>108.72999999999999</v>
      </c>
      <c r="K71" s="57">
        <f>G71</f>
        <v>338</v>
      </c>
      <c r="L71" s="58">
        <f t="shared" si="130"/>
        <v>280.53999999999996</v>
      </c>
      <c r="M71" s="77">
        <v>187</v>
      </c>
      <c r="N71" s="58">
        <f>SUM(M71)*F71</f>
        <v>155.20999999999998</v>
      </c>
      <c r="O71" s="77">
        <v>234</v>
      </c>
      <c r="P71" s="58">
        <f>SUM(O71)*F71</f>
        <v>194.22</v>
      </c>
      <c r="Q71" s="77">
        <v>238</v>
      </c>
      <c r="R71" s="58">
        <f>SUM(Q71)*F71</f>
        <v>197.54</v>
      </c>
      <c r="S71" s="77">
        <v>211</v>
      </c>
      <c r="T71" s="58">
        <f>SUM(S71)*F71</f>
        <v>175.13</v>
      </c>
      <c r="U71" s="57">
        <v>185</v>
      </c>
      <c r="V71" s="58">
        <f t="shared" si="135"/>
        <v>153.54999999999998</v>
      </c>
      <c r="W71" s="77">
        <v>181</v>
      </c>
      <c r="X71" s="58">
        <f t="shared" si="136"/>
        <v>150.22999999999999</v>
      </c>
      <c r="Y71" s="57">
        <v>253</v>
      </c>
      <c r="Z71" s="58">
        <f t="shared" si="137"/>
        <v>209.98999999999998</v>
      </c>
      <c r="AA71" s="57">
        <v>285</v>
      </c>
      <c r="AB71" s="58">
        <f t="shared" si="138"/>
        <v>236.54999999999998</v>
      </c>
      <c r="AC71" s="57">
        <v>385</v>
      </c>
      <c r="AD71" s="58">
        <f t="shared" si="139"/>
        <v>319.55</v>
      </c>
      <c r="AE71" s="57">
        <v>396</v>
      </c>
      <c r="AF71" s="58">
        <f t="shared" si="140"/>
        <v>328.68</v>
      </c>
      <c r="AG71" s="57">
        <v>304</v>
      </c>
      <c r="AH71" s="58">
        <f t="shared" si="141"/>
        <v>252.32</v>
      </c>
      <c r="AI71" s="61">
        <v>312</v>
      </c>
      <c r="AJ71" s="58">
        <f t="shared" si="142"/>
        <v>258.95999999999998</v>
      </c>
      <c r="AK71" s="61">
        <v>321</v>
      </c>
      <c r="AL71" s="58">
        <f>PRODUCT(F71*AK71)</f>
        <v>266.43</v>
      </c>
      <c r="AM71" s="61">
        <v>303</v>
      </c>
      <c r="AN71" s="58">
        <f>F71*AM71</f>
        <v>251.48999999999998</v>
      </c>
      <c r="AO71" s="61">
        <v>301</v>
      </c>
      <c r="AP71" s="58">
        <f t="shared" si="145"/>
        <v>249.82999999999998</v>
      </c>
      <c r="AQ71" s="57">
        <v>296</v>
      </c>
      <c r="AR71" s="58">
        <f>$F71*AQ71</f>
        <v>245.67999999999998</v>
      </c>
      <c r="AS71" s="57">
        <v>273</v>
      </c>
      <c r="AT71" s="58">
        <f>$F71*AS71</f>
        <v>226.58999999999997</v>
      </c>
      <c r="AU71" s="57">
        <v>232.25</v>
      </c>
      <c r="AV71" s="58">
        <f>$F71*AU71</f>
        <v>192.76749999999998</v>
      </c>
      <c r="AW71" s="57">
        <v>198.5</v>
      </c>
      <c r="AX71" s="58">
        <f>$F71*AW71</f>
        <v>164.755</v>
      </c>
      <c r="AY71" s="57">
        <v>225</v>
      </c>
      <c r="AZ71" s="58">
        <f>$F71*AY71</f>
        <v>186.75</v>
      </c>
      <c r="BA71" s="57">
        <v>205</v>
      </c>
      <c r="BB71" s="58">
        <f>$F71*BA71</f>
        <v>170.15</v>
      </c>
      <c r="BC71" s="57">
        <v>180.83</v>
      </c>
      <c r="BD71" s="58">
        <f>$F71*BC71</f>
        <v>150.0889</v>
      </c>
      <c r="BE71" s="57">
        <v>189.17</v>
      </c>
      <c r="BF71" s="58">
        <f>$F71*BE71</f>
        <v>157.01109999999997</v>
      </c>
      <c r="BG71" s="95">
        <v>238.25</v>
      </c>
      <c r="BH71" s="58">
        <f>$F71*BG71</f>
        <v>197.7475</v>
      </c>
      <c r="BI71" s="57">
        <v>256.25</v>
      </c>
      <c r="BJ71" s="58">
        <f>$F71*BI71</f>
        <v>212.6875</v>
      </c>
      <c r="BK71" s="62">
        <f t="shared" si="155"/>
        <v>131</v>
      </c>
      <c r="BL71" s="96">
        <f>J71</f>
        <v>108.72999999999999</v>
      </c>
      <c r="BO71" s="100">
        <v>122</v>
      </c>
      <c r="BP71" s="100">
        <v>5</v>
      </c>
      <c r="BQ71" s="100">
        <v>122.05</v>
      </c>
      <c r="BR71" s="34" t="s">
        <v>254</v>
      </c>
      <c r="BS71" s="65" t="s">
        <v>294</v>
      </c>
      <c r="BT71" s="65" t="s">
        <v>292</v>
      </c>
      <c r="BU71" s="37" t="s">
        <v>175</v>
      </c>
      <c r="BV71" s="66">
        <f t="shared" si="156"/>
        <v>37729.714521199996</v>
      </c>
      <c r="BW71" s="66">
        <f t="shared" si="157"/>
        <v>5748.162438469265</v>
      </c>
      <c r="BX71" s="66">
        <f t="shared" si="160"/>
        <v>15.235107160006267</v>
      </c>
      <c r="BY71" s="67"/>
      <c r="BZ71" s="68">
        <v>70</v>
      </c>
      <c r="CA71" s="74" t="s">
        <v>68</v>
      </c>
      <c r="CB71" s="69">
        <f t="shared" si="161"/>
        <v>0</v>
      </c>
      <c r="CC71" s="69">
        <f t="shared" si="162"/>
        <v>0</v>
      </c>
      <c r="CD71" s="70"/>
      <c r="CE71" s="71"/>
      <c r="CF71" s="71"/>
      <c r="CG71" s="71">
        <v>70</v>
      </c>
      <c r="CH71" s="71" t="str">
        <f t="shared" si="158"/>
        <v/>
      </c>
      <c r="CI71" s="71" t="str">
        <f t="shared" si="158"/>
        <v/>
      </c>
      <c r="CJ71" s="71" t="str">
        <f t="shared" si="158"/>
        <v/>
      </c>
      <c r="CK71" s="71" t="str">
        <f t="shared" si="158"/>
        <v/>
      </c>
      <c r="CL71" s="71" t="str">
        <f t="shared" si="158"/>
        <v/>
      </c>
      <c r="CM71" s="71" t="str">
        <f t="shared" si="158"/>
        <v/>
      </c>
      <c r="CN71" s="71" t="str">
        <f t="shared" si="158"/>
        <v/>
      </c>
      <c r="CO71" s="71" t="str">
        <f t="shared" si="158"/>
        <v/>
      </c>
      <c r="CP71" s="71" t="str">
        <f t="shared" si="158"/>
        <v/>
      </c>
      <c r="CQ71" s="71" t="str">
        <f t="shared" si="158"/>
        <v/>
      </c>
      <c r="CR71" s="71"/>
      <c r="CS71" s="71">
        <v>70</v>
      </c>
      <c r="CT71" s="71" t="str">
        <f t="shared" si="159"/>
        <v/>
      </c>
      <c r="CU71" s="71" t="str">
        <f t="shared" si="159"/>
        <v/>
      </c>
      <c r="CV71" s="71" t="str">
        <f t="shared" si="159"/>
        <v/>
      </c>
      <c r="CW71" s="71" t="str">
        <f t="shared" si="159"/>
        <v/>
      </c>
      <c r="CX71" s="71" t="str">
        <f t="shared" si="159"/>
        <v/>
      </c>
      <c r="CY71" s="71" t="str">
        <f t="shared" si="159"/>
        <v/>
      </c>
      <c r="CZ71" s="71" t="str">
        <f t="shared" si="159"/>
        <v/>
      </c>
      <c r="DA71" s="71" t="str">
        <f t="shared" si="159"/>
        <v/>
      </c>
      <c r="DB71" s="71" t="str">
        <f t="shared" si="159"/>
        <v/>
      </c>
      <c r="DC71" s="72" t="str">
        <f t="shared" si="159"/>
        <v/>
      </c>
    </row>
    <row r="72" spans="1:107" x14ac:dyDescent="0.35">
      <c r="A72" s="52">
        <v>87</v>
      </c>
      <c r="B72" s="52">
        <v>71</v>
      </c>
      <c r="C72" s="52">
        <v>7</v>
      </c>
      <c r="D72" s="52">
        <v>1</v>
      </c>
      <c r="E72" s="80" t="s">
        <v>295</v>
      </c>
      <c r="F72" s="55">
        <v>0.83</v>
      </c>
      <c r="G72" s="53">
        <v>1516</v>
      </c>
      <c r="H72" s="76">
        <f t="shared" si="128"/>
        <v>1258.28</v>
      </c>
      <c r="I72" s="77">
        <v>589</v>
      </c>
      <c r="J72" s="58">
        <f t="shared" si="129"/>
        <v>488.87</v>
      </c>
      <c r="K72" s="57">
        <f>G72</f>
        <v>1516</v>
      </c>
      <c r="L72" s="58">
        <f t="shared" si="130"/>
        <v>1258.28</v>
      </c>
      <c r="M72" s="77">
        <v>1598</v>
      </c>
      <c r="N72" s="58">
        <f>SUM(M72)*F72</f>
        <v>1326.34</v>
      </c>
      <c r="O72" s="77">
        <v>1619</v>
      </c>
      <c r="P72" s="58">
        <f>SUM(O72)*F72</f>
        <v>1343.77</v>
      </c>
      <c r="Q72" s="77">
        <v>1783</v>
      </c>
      <c r="R72" s="58">
        <f>SUM(Q72)*F72</f>
        <v>1479.8899999999999</v>
      </c>
      <c r="S72" s="77">
        <v>1745</v>
      </c>
      <c r="T72" s="58">
        <f>SUM(S72)*F72</f>
        <v>1448.35</v>
      </c>
      <c r="U72" s="57">
        <v>1416</v>
      </c>
      <c r="V72" s="58">
        <f t="shared" si="135"/>
        <v>1175.28</v>
      </c>
      <c r="W72" s="77">
        <v>1519</v>
      </c>
      <c r="X72" s="58">
        <f t="shared" si="136"/>
        <v>1260.77</v>
      </c>
      <c r="Y72" s="57">
        <v>1608</v>
      </c>
      <c r="Z72" s="58">
        <f t="shared" si="137"/>
        <v>1334.6399999999999</v>
      </c>
      <c r="AA72" s="57">
        <v>1652</v>
      </c>
      <c r="AB72" s="58">
        <f t="shared" si="138"/>
        <v>1371.1599999999999</v>
      </c>
      <c r="AC72" s="57">
        <v>1747</v>
      </c>
      <c r="AD72" s="58">
        <f t="shared" si="139"/>
        <v>1450.01</v>
      </c>
      <c r="AE72" s="57">
        <v>1664</v>
      </c>
      <c r="AF72" s="58">
        <f t="shared" si="140"/>
        <v>1381.12</v>
      </c>
      <c r="AG72" s="57">
        <v>1802</v>
      </c>
      <c r="AH72" s="58">
        <f t="shared" si="141"/>
        <v>1495.6599999999999</v>
      </c>
      <c r="AI72" s="61">
        <v>1680</v>
      </c>
      <c r="AJ72" s="58">
        <f t="shared" si="142"/>
        <v>1394.3999999999999</v>
      </c>
      <c r="AK72" s="61">
        <v>1713</v>
      </c>
      <c r="AL72" s="58">
        <f>PRODUCT(F72*AK72)</f>
        <v>1421.79</v>
      </c>
      <c r="AM72" s="61">
        <v>1725</v>
      </c>
      <c r="AN72" s="58">
        <f>F72*AM72</f>
        <v>1431.75</v>
      </c>
      <c r="AO72" s="61">
        <v>1772</v>
      </c>
      <c r="AP72" s="58">
        <f t="shared" si="145"/>
        <v>1470.76</v>
      </c>
      <c r="AQ72" s="57">
        <v>1793</v>
      </c>
      <c r="AR72" s="58">
        <f>$F72*AQ72</f>
        <v>1488.1899999999998</v>
      </c>
      <c r="AS72" s="57">
        <v>1824</v>
      </c>
      <c r="AT72" s="58">
        <f>$F72*AS72</f>
        <v>1513.9199999999998</v>
      </c>
      <c r="AU72" s="57">
        <v>1807.5</v>
      </c>
      <c r="AV72" s="58">
        <f>$F72*AU72</f>
        <v>1500.2249999999999</v>
      </c>
      <c r="AW72" s="57">
        <v>1870.33</v>
      </c>
      <c r="AX72" s="58">
        <f>$F72*AW72</f>
        <v>1552.3738999999998</v>
      </c>
      <c r="AY72" s="57">
        <v>1862</v>
      </c>
      <c r="AZ72" s="58">
        <f>$F72*AY72</f>
        <v>1545.46</v>
      </c>
      <c r="BA72" s="57">
        <v>545</v>
      </c>
      <c r="BB72" s="58">
        <f>$F72*BA72</f>
        <v>452.34999999999997</v>
      </c>
      <c r="BC72" s="57">
        <v>242.67</v>
      </c>
      <c r="BD72" s="58">
        <f>$F72*BC72</f>
        <v>201.41609999999997</v>
      </c>
      <c r="BE72" s="57">
        <v>219.25</v>
      </c>
      <c r="BF72" s="58">
        <f>$F72*BE72</f>
        <v>181.97749999999999</v>
      </c>
      <c r="BG72" s="95">
        <v>191.41666666666666</v>
      </c>
      <c r="BH72" s="58">
        <f>$F72*BG72</f>
        <v>158.8758333333333</v>
      </c>
      <c r="BI72" s="57">
        <v>212.58</v>
      </c>
      <c r="BJ72" s="58">
        <f>$F72*BI72</f>
        <v>176.44140000000002</v>
      </c>
      <c r="BK72" s="62">
        <f t="shared" si="155"/>
        <v>589</v>
      </c>
      <c r="BL72" s="63">
        <f>J72</f>
        <v>488.87</v>
      </c>
      <c r="BO72" s="100">
        <v>122</v>
      </c>
      <c r="BP72" s="100">
        <v>6</v>
      </c>
      <c r="BQ72" s="100">
        <v>122.06</v>
      </c>
      <c r="BR72" s="34" t="s">
        <v>254</v>
      </c>
      <c r="BS72" s="65" t="s">
        <v>295</v>
      </c>
      <c r="BT72" s="65" t="s">
        <v>292</v>
      </c>
      <c r="BU72" s="37" t="s">
        <v>175</v>
      </c>
      <c r="BV72" s="66">
        <f t="shared" si="156"/>
        <v>34395.130413244442</v>
      </c>
      <c r="BW72" s="66">
        <f t="shared" si="157"/>
        <v>2405.9297013194782</v>
      </c>
      <c r="BX72" s="66">
        <f t="shared" si="160"/>
        <v>6.9949718823948208</v>
      </c>
      <c r="BY72" s="67"/>
      <c r="BZ72" s="68">
        <v>71</v>
      </c>
      <c r="CA72" s="74" t="s">
        <v>69</v>
      </c>
      <c r="CB72" s="69">
        <f t="shared" si="161"/>
        <v>0</v>
      </c>
      <c r="CC72" s="69">
        <f t="shared" si="162"/>
        <v>0</v>
      </c>
      <c r="CD72" s="70"/>
      <c r="CE72" s="71"/>
      <c r="CF72" s="71"/>
      <c r="CG72" s="71">
        <v>71</v>
      </c>
      <c r="CH72" s="71" t="str">
        <f t="shared" si="158"/>
        <v/>
      </c>
      <c r="CI72" s="71" t="str">
        <f t="shared" si="158"/>
        <v/>
      </c>
      <c r="CJ72" s="71" t="str">
        <f t="shared" si="158"/>
        <v/>
      </c>
      <c r="CK72" s="71" t="str">
        <f t="shared" si="158"/>
        <v/>
      </c>
      <c r="CL72" s="71" t="str">
        <f t="shared" si="158"/>
        <v/>
      </c>
      <c r="CM72" s="71" t="str">
        <f t="shared" si="158"/>
        <v/>
      </c>
      <c r="CN72" s="71" t="str">
        <f t="shared" si="158"/>
        <v/>
      </c>
      <c r="CO72" s="71" t="str">
        <f t="shared" si="158"/>
        <v/>
      </c>
      <c r="CP72" s="71" t="str">
        <f t="shared" si="158"/>
        <v/>
      </c>
      <c r="CQ72" s="71" t="str">
        <f t="shared" si="158"/>
        <v/>
      </c>
      <c r="CR72" s="71"/>
      <c r="CS72" s="71">
        <v>71</v>
      </c>
      <c r="CT72" s="71" t="str">
        <f t="shared" si="159"/>
        <v/>
      </c>
      <c r="CU72" s="71" t="str">
        <f t="shared" si="159"/>
        <v/>
      </c>
      <c r="CV72" s="71" t="str">
        <f t="shared" si="159"/>
        <v/>
      </c>
      <c r="CW72" s="71" t="str">
        <f t="shared" si="159"/>
        <v/>
      </c>
      <c r="CX72" s="71" t="str">
        <f t="shared" si="159"/>
        <v/>
      </c>
      <c r="CY72" s="71" t="str">
        <f t="shared" si="159"/>
        <v/>
      </c>
      <c r="CZ72" s="71" t="str">
        <f t="shared" si="159"/>
        <v/>
      </c>
      <c r="DA72" s="71" t="str">
        <f t="shared" si="159"/>
        <v/>
      </c>
      <c r="DB72" s="71" t="str">
        <f t="shared" si="159"/>
        <v/>
      </c>
      <c r="DC72" s="72" t="str">
        <f t="shared" si="159"/>
        <v/>
      </c>
    </row>
    <row r="73" spans="1:107" ht="12.75" customHeight="1" x14ac:dyDescent="0.35">
      <c r="A73" s="52">
        <v>104</v>
      </c>
      <c r="B73" s="52">
        <v>72</v>
      </c>
      <c r="C73" s="52" t="s">
        <v>296</v>
      </c>
      <c r="D73" s="52">
        <v>1</v>
      </c>
      <c r="E73" s="80" t="s">
        <v>297</v>
      </c>
      <c r="F73" s="55">
        <v>0.55000000000000004</v>
      </c>
      <c r="G73" s="53">
        <v>76</v>
      </c>
      <c r="H73" s="76">
        <f t="shared" si="128"/>
        <v>41.800000000000004</v>
      </c>
      <c r="I73" s="77">
        <v>11</v>
      </c>
      <c r="J73" s="58">
        <f t="shared" si="129"/>
        <v>6.0500000000000007</v>
      </c>
      <c r="K73" s="37">
        <v>76</v>
      </c>
      <c r="L73" s="58">
        <f t="shared" si="130"/>
        <v>41.800000000000004</v>
      </c>
      <c r="M73" s="77">
        <v>76</v>
      </c>
      <c r="N73" s="58">
        <f>SUM(M73)*F73</f>
        <v>41.800000000000004</v>
      </c>
      <c r="O73" s="77">
        <v>76</v>
      </c>
      <c r="P73" s="58">
        <f>SUM(O73)*F73</f>
        <v>41.800000000000004</v>
      </c>
      <c r="Q73" s="77">
        <v>76</v>
      </c>
      <c r="R73" s="58">
        <f>SUM(Q73)*F73</f>
        <v>41.800000000000004</v>
      </c>
      <c r="S73" s="77">
        <v>76</v>
      </c>
      <c r="T73" s="58">
        <f>SUM(S73)*F73</f>
        <v>41.800000000000004</v>
      </c>
      <c r="U73" s="57">
        <v>76</v>
      </c>
      <c r="V73" s="58">
        <f t="shared" si="135"/>
        <v>41.800000000000004</v>
      </c>
      <c r="W73" s="77">
        <v>76</v>
      </c>
      <c r="X73" s="58">
        <f t="shared" si="136"/>
        <v>41.800000000000004</v>
      </c>
      <c r="Y73" s="57">
        <v>76</v>
      </c>
      <c r="Z73" s="58">
        <f t="shared" si="137"/>
        <v>41.800000000000004</v>
      </c>
      <c r="AA73" s="57">
        <v>76</v>
      </c>
      <c r="AB73" s="58">
        <f t="shared" si="138"/>
        <v>41.800000000000004</v>
      </c>
      <c r="AC73" s="57">
        <v>76</v>
      </c>
      <c r="AD73" s="58">
        <f t="shared" si="139"/>
        <v>41.800000000000004</v>
      </c>
      <c r="AE73" s="57">
        <v>76</v>
      </c>
      <c r="AF73" s="58">
        <f t="shared" si="140"/>
        <v>41.800000000000004</v>
      </c>
      <c r="AG73" s="57">
        <v>76</v>
      </c>
      <c r="AH73" s="58">
        <f t="shared" si="141"/>
        <v>41.800000000000004</v>
      </c>
      <c r="AI73" s="61">
        <v>81</v>
      </c>
      <c r="AJ73" s="58">
        <f t="shared" si="142"/>
        <v>44.550000000000004</v>
      </c>
      <c r="AK73" s="61">
        <v>86</v>
      </c>
      <c r="AL73" s="58">
        <f>PRODUCT(F73*AK73)</f>
        <v>47.300000000000004</v>
      </c>
      <c r="AM73" s="61">
        <v>72</v>
      </c>
      <c r="AN73" s="58">
        <f>F73*AM73</f>
        <v>39.6</v>
      </c>
      <c r="AO73" s="61">
        <v>77</v>
      </c>
      <c r="AP73" s="58">
        <f t="shared" si="145"/>
        <v>42.35</v>
      </c>
      <c r="AQ73" s="57">
        <v>93</v>
      </c>
      <c r="AR73" s="58">
        <f>$F73*AQ73</f>
        <v>51.150000000000006</v>
      </c>
      <c r="AS73" s="57">
        <v>101</v>
      </c>
      <c r="AT73" s="58">
        <f>$F73*AS73</f>
        <v>55.550000000000004</v>
      </c>
      <c r="AU73" s="57">
        <v>56.16</v>
      </c>
      <c r="AV73" s="58">
        <f>$F73*AU73</f>
        <v>30.888000000000002</v>
      </c>
      <c r="AW73" s="57">
        <v>10.25</v>
      </c>
      <c r="AX73" s="58">
        <f>$F73*AW73</f>
        <v>5.6375000000000002</v>
      </c>
      <c r="AY73" s="57">
        <v>7.87</v>
      </c>
      <c r="AZ73" s="58">
        <f>$F73*AY73</f>
        <v>4.3285</v>
      </c>
      <c r="BA73" s="57">
        <v>17</v>
      </c>
      <c r="BB73" s="58">
        <f>$F73*BA73</f>
        <v>9.3500000000000014</v>
      </c>
      <c r="BC73" s="57">
        <v>9.31</v>
      </c>
      <c r="BD73" s="58">
        <f>$F73*BC73</f>
        <v>5.1205000000000007</v>
      </c>
      <c r="BE73" s="57">
        <v>8.7799999999999994</v>
      </c>
      <c r="BF73" s="58">
        <f>$F73*BE73</f>
        <v>4.8289999999999997</v>
      </c>
      <c r="BG73" s="95">
        <v>19.150000000000002</v>
      </c>
      <c r="BH73" s="58">
        <f>$F73*BG73</f>
        <v>10.532500000000002</v>
      </c>
      <c r="BI73" s="57">
        <v>9.5</v>
      </c>
      <c r="BJ73" s="58">
        <f>$F73*BI73</f>
        <v>5.2250000000000005</v>
      </c>
      <c r="BK73" s="62">
        <f t="shared" si="155"/>
        <v>11</v>
      </c>
      <c r="BL73" s="63">
        <v>6.05</v>
      </c>
      <c r="BO73" s="100">
        <v>122</v>
      </c>
      <c r="BP73" s="100">
        <v>7</v>
      </c>
      <c r="BQ73" s="100">
        <v>122.07</v>
      </c>
      <c r="BR73" s="34" t="s">
        <v>254</v>
      </c>
      <c r="BS73" s="65" t="s">
        <v>297</v>
      </c>
      <c r="BT73" s="65" t="s">
        <v>298</v>
      </c>
      <c r="BU73" s="37" t="s">
        <v>175</v>
      </c>
      <c r="BV73" s="66">
        <f t="shared" si="156"/>
        <v>2065.6504081333333</v>
      </c>
      <c r="BW73" s="66">
        <f t="shared" si="157"/>
        <v>958.67776087217544</v>
      </c>
      <c r="BX73" s="66">
        <f t="shared" si="160"/>
        <v>46.410455375094372</v>
      </c>
      <c r="BY73" s="67"/>
      <c r="BZ73" s="68">
        <v>72</v>
      </c>
      <c r="CA73" s="74" t="s">
        <v>70</v>
      </c>
      <c r="CB73" s="69">
        <f t="shared" si="161"/>
        <v>0</v>
      </c>
      <c r="CC73" s="69">
        <f t="shared" si="162"/>
        <v>0</v>
      </c>
      <c r="CD73" s="70"/>
      <c r="CE73" s="71"/>
      <c r="CF73" s="71"/>
      <c r="CG73" s="71">
        <v>72</v>
      </c>
      <c r="CH73" s="71" t="str">
        <f t="shared" si="158"/>
        <v/>
      </c>
      <c r="CI73" s="71" t="str">
        <f t="shared" si="158"/>
        <v/>
      </c>
      <c r="CJ73" s="71" t="str">
        <f t="shared" si="158"/>
        <v/>
      </c>
      <c r="CK73" s="71" t="str">
        <f t="shared" si="158"/>
        <v/>
      </c>
      <c r="CL73" s="71" t="str">
        <f t="shared" si="158"/>
        <v/>
      </c>
      <c r="CM73" s="71" t="str">
        <f t="shared" si="158"/>
        <v/>
      </c>
      <c r="CN73" s="71" t="str">
        <f t="shared" si="158"/>
        <v/>
      </c>
      <c r="CO73" s="71" t="str">
        <f t="shared" si="158"/>
        <v/>
      </c>
      <c r="CP73" s="71" t="str">
        <f t="shared" si="158"/>
        <v/>
      </c>
      <c r="CQ73" s="71" t="str">
        <f t="shared" si="158"/>
        <v/>
      </c>
      <c r="CR73" s="71"/>
      <c r="CS73" s="71">
        <v>72</v>
      </c>
      <c r="CT73" s="71" t="str">
        <f t="shared" si="159"/>
        <v/>
      </c>
      <c r="CU73" s="71" t="str">
        <f t="shared" si="159"/>
        <v/>
      </c>
      <c r="CV73" s="71" t="str">
        <f t="shared" si="159"/>
        <v/>
      </c>
      <c r="CW73" s="71" t="str">
        <f t="shared" si="159"/>
        <v/>
      </c>
      <c r="CX73" s="71" t="str">
        <f t="shared" si="159"/>
        <v/>
      </c>
      <c r="CY73" s="71" t="str">
        <f t="shared" si="159"/>
        <v/>
      </c>
      <c r="CZ73" s="71" t="str">
        <f t="shared" si="159"/>
        <v/>
      </c>
      <c r="DA73" s="71" t="str">
        <f t="shared" si="159"/>
        <v/>
      </c>
      <c r="DB73" s="71" t="str">
        <f t="shared" si="159"/>
        <v/>
      </c>
      <c r="DC73" s="72" t="str">
        <f t="shared" si="159"/>
        <v/>
      </c>
    </row>
    <row r="74" spans="1:107" ht="14.25" customHeight="1" x14ac:dyDescent="0.35">
      <c r="A74" s="52">
        <v>88</v>
      </c>
      <c r="B74" s="52">
        <v>73</v>
      </c>
      <c r="C74" s="52">
        <v>7</v>
      </c>
      <c r="D74" s="52">
        <v>1</v>
      </c>
      <c r="E74" s="80" t="s">
        <v>299</v>
      </c>
      <c r="F74" s="55">
        <v>0.83</v>
      </c>
      <c r="G74" s="53">
        <v>2135</v>
      </c>
      <c r="H74" s="76">
        <f t="shared" si="128"/>
        <v>1772.05</v>
      </c>
      <c r="I74" s="77">
        <v>829</v>
      </c>
      <c r="J74" s="58">
        <f t="shared" si="129"/>
        <v>688.06999999999994</v>
      </c>
      <c r="K74" s="57">
        <f>G74</f>
        <v>2135</v>
      </c>
      <c r="L74" s="58">
        <f t="shared" si="130"/>
        <v>1772.05</v>
      </c>
      <c r="M74" s="77">
        <v>1296</v>
      </c>
      <c r="N74" s="58">
        <f>SUM(M74)*F74</f>
        <v>1075.6799999999998</v>
      </c>
      <c r="O74" s="77">
        <v>1341</v>
      </c>
      <c r="P74" s="58">
        <f>SUM(O74)*F74</f>
        <v>1113.03</v>
      </c>
      <c r="Q74" s="77">
        <v>1439</v>
      </c>
      <c r="R74" s="58">
        <f>SUM(Q74)*F74</f>
        <v>1194.3699999999999</v>
      </c>
      <c r="S74" s="77">
        <v>1463</v>
      </c>
      <c r="T74" s="58">
        <f>SUM(S74)*F74</f>
        <v>1214.29</v>
      </c>
      <c r="U74" s="57">
        <v>1387</v>
      </c>
      <c r="V74" s="58">
        <f t="shared" si="135"/>
        <v>1151.21</v>
      </c>
      <c r="W74" s="77">
        <v>1254</v>
      </c>
      <c r="X74" s="58">
        <f t="shared" si="136"/>
        <v>1040.82</v>
      </c>
      <c r="Y74" s="57">
        <v>1388</v>
      </c>
      <c r="Z74" s="58">
        <f t="shared" si="137"/>
        <v>1152.04</v>
      </c>
      <c r="AA74" s="57">
        <v>1492</v>
      </c>
      <c r="AB74" s="58">
        <f t="shared" si="138"/>
        <v>1238.3599999999999</v>
      </c>
      <c r="AC74" s="57">
        <v>1597</v>
      </c>
      <c r="AD74" s="58">
        <f t="shared" si="139"/>
        <v>1325.51</v>
      </c>
      <c r="AE74" s="57">
        <v>1594</v>
      </c>
      <c r="AF74" s="58">
        <f t="shared" si="140"/>
        <v>1323.02</v>
      </c>
      <c r="AG74" s="57">
        <v>1429</v>
      </c>
      <c r="AH74" s="58">
        <f t="shared" si="141"/>
        <v>1186.07</v>
      </c>
      <c r="AI74" s="61">
        <v>1351</v>
      </c>
      <c r="AJ74" s="58">
        <f t="shared" si="142"/>
        <v>1121.33</v>
      </c>
      <c r="AK74" s="61">
        <v>1396</v>
      </c>
      <c r="AL74" s="58">
        <f>PRODUCT(F74*AK74)</f>
        <v>1158.6799999999998</v>
      </c>
      <c r="AM74" s="61">
        <v>1375</v>
      </c>
      <c r="AN74" s="58">
        <f>F74*AM74</f>
        <v>1141.25</v>
      </c>
      <c r="AO74" s="61">
        <v>1373</v>
      </c>
      <c r="AP74" s="58">
        <f t="shared" si="145"/>
        <v>1139.5899999999999</v>
      </c>
      <c r="AQ74" s="57">
        <v>1397</v>
      </c>
      <c r="AR74" s="58">
        <f>$F74*AQ74</f>
        <v>1159.51</v>
      </c>
      <c r="AS74" s="57">
        <v>1618</v>
      </c>
      <c r="AT74" s="58">
        <f>$F74*AS74</f>
        <v>1342.9399999999998</v>
      </c>
      <c r="AU74" s="57">
        <v>1466.17</v>
      </c>
      <c r="AV74" s="58">
        <f>$F74*AU74</f>
        <v>1216.9211</v>
      </c>
      <c r="AW74" s="57">
        <v>772.09</v>
      </c>
      <c r="AX74" s="58">
        <f>$F74*AW74</f>
        <v>640.8347</v>
      </c>
      <c r="AY74" s="57">
        <v>499</v>
      </c>
      <c r="AZ74" s="58">
        <f>$F74*AY74</f>
        <v>414.16999999999996</v>
      </c>
      <c r="BA74" s="57">
        <v>431</v>
      </c>
      <c r="BB74" s="58">
        <f>$F74*BA74</f>
        <v>357.72999999999996</v>
      </c>
      <c r="BC74" s="57">
        <v>233.08</v>
      </c>
      <c r="BD74" s="58">
        <f>$F74*BC74</f>
        <v>193.4564</v>
      </c>
      <c r="BE74" s="57">
        <v>190.33</v>
      </c>
      <c r="BF74" s="58">
        <f>$F74*BE74</f>
        <v>157.97390000000001</v>
      </c>
      <c r="BG74" s="95">
        <v>223.41666666666666</v>
      </c>
      <c r="BH74" s="58">
        <f>$F74*BG74</f>
        <v>185.43583333333331</v>
      </c>
      <c r="BI74" s="57">
        <v>319</v>
      </c>
      <c r="BJ74" s="58">
        <f>$F74*BI74</f>
        <v>264.77</v>
      </c>
      <c r="BK74" s="62">
        <f t="shared" si="155"/>
        <v>829</v>
      </c>
      <c r="BL74" s="63">
        <v>688.07</v>
      </c>
      <c r="BO74" s="100">
        <v>122</v>
      </c>
      <c r="BP74" s="100">
        <v>8</v>
      </c>
      <c r="BQ74" s="100">
        <v>122.08</v>
      </c>
      <c r="BR74" s="34" t="s">
        <v>254</v>
      </c>
      <c r="BS74" s="65" t="s">
        <v>299</v>
      </c>
      <c r="BT74" s="65" t="s">
        <v>292</v>
      </c>
      <c r="BU74" s="37" t="s">
        <v>175</v>
      </c>
      <c r="BV74" s="66">
        <f t="shared" si="156"/>
        <v>40438.109833244445</v>
      </c>
      <c r="BW74" s="66">
        <f t="shared" si="157"/>
        <v>11062.253609841175</v>
      </c>
      <c r="BX74" s="66">
        <f t="shared" si="160"/>
        <v>27.356010593617857</v>
      </c>
      <c r="BY74" s="67"/>
      <c r="BZ74" s="68">
        <v>73</v>
      </c>
      <c r="CA74" s="74" t="s">
        <v>71</v>
      </c>
      <c r="CB74" s="69">
        <f t="shared" si="161"/>
        <v>0</v>
      </c>
      <c r="CC74" s="69">
        <f t="shared" si="162"/>
        <v>0</v>
      </c>
      <c r="CD74" s="70"/>
      <c r="CE74" s="71"/>
      <c r="CF74" s="71"/>
      <c r="CG74" s="71">
        <v>73</v>
      </c>
      <c r="CH74" s="71" t="str">
        <f t="shared" si="158"/>
        <v/>
      </c>
      <c r="CI74" s="71" t="str">
        <f t="shared" si="158"/>
        <v/>
      </c>
      <c r="CJ74" s="71" t="str">
        <f t="shared" si="158"/>
        <v/>
      </c>
      <c r="CK74" s="71" t="str">
        <f t="shared" si="158"/>
        <v/>
      </c>
      <c r="CL74" s="71" t="str">
        <f t="shared" si="158"/>
        <v/>
      </c>
      <c r="CM74" s="71" t="str">
        <f t="shared" si="158"/>
        <v/>
      </c>
      <c r="CN74" s="71" t="str">
        <f t="shared" si="158"/>
        <v/>
      </c>
      <c r="CO74" s="71" t="str">
        <f t="shared" si="158"/>
        <v/>
      </c>
      <c r="CP74" s="71" t="str">
        <f t="shared" si="158"/>
        <v/>
      </c>
      <c r="CQ74" s="71" t="str">
        <f t="shared" si="158"/>
        <v/>
      </c>
      <c r="CR74" s="71"/>
      <c r="CS74" s="71">
        <v>73</v>
      </c>
      <c r="CT74" s="71" t="str">
        <f t="shared" si="159"/>
        <v/>
      </c>
      <c r="CU74" s="71" t="str">
        <f t="shared" si="159"/>
        <v/>
      </c>
      <c r="CV74" s="71" t="str">
        <f t="shared" si="159"/>
        <v/>
      </c>
      <c r="CW74" s="71" t="str">
        <f t="shared" si="159"/>
        <v/>
      </c>
      <c r="CX74" s="71" t="str">
        <f t="shared" si="159"/>
        <v/>
      </c>
      <c r="CY74" s="71" t="str">
        <f t="shared" si="159"/>
        <v/>
      </c>
      <c r="CZ74" s="71" t="str">
        <f t="shared" si="159"/>
        <v/>
      </c>
      <c r="DA74" s="71" t="str">
        <f t="shared" si="159"/>
        <v/>
      </c>
      <c r="DB74" s="71" t="str">
        <f t="shared" si="159"/>
        <v/>
      </c>
      <c r="DC74" s="72" t="str">
        <f t="shared" si="159"/>
        <v/>
      </c>
    </row>
    <row r="75" spans="1:107" x14ac:dyDescent="0.35">
      <c r="A75" s="52">
        <v>13</v>
      </c>
      <c r="B75" s="52">
        <v>74</v>
      </c>
      <c r="C75" s="52">
        <v>1</v>
      </c>
      <c r="D75" s="52" t="s">
        <v>300</v>
      </c>
      <c r="E75" s="51" t="s">
        <v>301</v>
      </c>
      <c r="F75" s="55">
        <v>0.13</v>
      </c>
      <c r="G75" s="53">
        <v>359</v>
      </c>
      <c r="H75" s="76">
        <f t="shared" si="128"/>
        <v>46.67</v>
      </c>
      <c r="I75" s="77">
        <v>131</v>
      </c>
      <c r="J75" s="58">
        <f t="shared" si="129"/>
        <v>17.03</v>
      </c>
      <c r="K75" s="57"/>
      <c r="L75" s="58">
        <f t="shared" si="130"/>
        <v>0</v>
      </c>
      <c r="M75" s="77">
        <v>324</v>
      </c>
      <c r="N75" s="58">
        <f t="shared" ref="N75:N101" si="163">PRODUCT(F75*M75)</f>
        <v>42.120000000000005</v>
      </c>
      <c r="O75" s="77">
        <v>324</v>
      </c>
      <c r="P75" s="58">
        <f t="shared" ref="P75:P101" si="164">PRODUCT(F75*O75)</f>
        <v>42.120000000000005</v>
      </c>
      <c r="Q75" s="77">
        <v>163</v>
      </c>
      <c r="R75" s="58">
        <f t="shared" ref="R75:R101" si="165">PRODUCT(F75*Q75)</f>
        <v>21.19</v>
      </c>
      <c r="S75" s="77">
        <v>96</v>
      </c>
      <c r="T75" s="58">
        <f t="shared" ref="T75:T101" si="166">PRODUCT(F75*S75)</f>
        <v>12.48</v>
      </c>
      <c r="U75" s="57">
        <v>146</v>
      </c>
      <c r="V75" s="58">
        <f t="shared" si="135"/>
        <v>18.98</v>
      </c>
      <c r="W75" s="77">
        <v>198</v>
      </c>
      <c r="X75" s="58">
        <f t="shared" si="136"/>
        <v>25.740000000000002</v>
      </c>
      <c r="Y75" s="57">
        <v>169</v>
      </c>
      <c r="Z75" s="58">
        <f t="shared" si="137"/>
        <v>21.970000000000002</v>
      </c>
      <c r="AA75" s="57">
        <v>162</v>
      </c>
      <c r="AB75" s="58">
        <f t="shared" si="138"/>
        <v>21.060000000000002</v>
      </c>
      <c r="AC75" s="57">
        <v>147</v>
      </c>
      <c r="AD75" s="58">
        <f t="shared" si="139"/>
        <v>19.11</v>
      </c>
      <c r="AE75" s="57">
        <v>159</v>
      </c>
      <c r="AF75" s="58">
        <f t="shared" si="140"/>
        <v>20.67</v>
      </c>
      <c r="AG75" s="57">
        <v>176</v>
      </c>
      <c r="AH75" s="58">
        <f t="shared" si="141"/>
        <v>22.880000000000003</v>
      </c>
      <c r="AI75" s="61">
        <v>152</v>
      </c>
      <c r="AJ75" s="58">
        <f t="shared" si="142"/>
        <v>19.760000000000002</v>
      </c>
      <c r="AK75" s="61">
        <v>158</v>
      </c>
      <c r="AL75" s="58">
        <f t="shared" ref="AL75:AL101" si="167">PRODUCT(F75,AK75)</f>
        <v>20.54</v>
      </c>
      <c r="AM75" s="61">
        <v>191</v>
      </c>
      <c r="AN75" s="58">
        <f t="shared" ref="AN75:AN101" si="168">PRODUCT(F75,AM75)</f>
        <v>24.830000000000002</v>
      </c>
      <c r="AO75" s="61">
        <v>126</v>
      </c>
      <c r="AP75" s="58">
        <f t="shared" si="145"/>
        <v>16.38</v>
      </c>
      <c r="AQ75" s="61">
        <v>221</v>
      </c>
      <c r="AR75" s="58">
        <f t="shared" ref="AR75:AR124" si="169">PRODUCT( F75*AQ75)</f>
        <v>28.73</v>
      </c>
      <c r="AS75" s="57">
        <v>247</v>
      </c>
      <c r="AT75" s="58">
        <f t="shared" ref="AT75:AT124" si="170">PRODUCT( F75*AS75)</f>
        <v>32.11</v>
      </c>
      <c r="AU75" s="57">
        <v>225</v>
      </c>
      <c r="AV75" s="58">
        <f t="shared" ref="AV75:AV124" si="171">PRODUCT( F75*AU75)</f>
        <v>29.25</v>
      </c>
      <c r="AW75" s="57">
        <v>277</v>
      </c>
      <c r="AX75" s="58">
        <f t="shared" ref="AX75:AX101" si="172">PRODUCT(F75*AW75)</f>
        <v>36.01</v>
      </c>
      <c r="AY75" s="57">
        <v>151</v>
      </c>
      <c r="AZ75" s="58">
        <f t="shared" ref="AZ75:AZ124" si="173">PRODUCT(F75*AY75)</f>
        <v>19.63</v>
      </c>
      <c r="BA75" s="57">
        <v>129</v>
      </c>
      <c r="BB75" s="58">
        <f t="shared" ref="BB75:BB124" si="174">PRODUCT(F75*BA75)</f>
        <v>16.77</v>
      </c>
      <c r="BC75" s="57">
        <v>102</v>
      </c>
      <c r="BD75" s="58">
        <f t="shared" ref="BD75:BD124" si="175">PRODUCT(F75*BC75)</f>
        <v>13.26</v>
      </c>
      <c r="BE75" s="61">
        <v>128</v>
      </c>
      <c r="BF75" s="58">
        <f t="shared" ref="BF75:BF124" si="176">PRODUCT(F75*BE75)</f>
        <v>16.64</v>
      </c>
      <c r="BG75" s="61">
        <v>223</v>
      </c>
      <c r="BH75" s="58">
        <f t="shared" ref="BH75:BH124" si="177">PRODUCT(F75*BG75)</f>
        <v>28.990000000000002</v>
      </c>
      <c r="BI75" s="57">
        <v>153</v>
      </c>
      <c r="BJ75" s="58">
        <f t="shared" ref="BJ75:BJ124" si="178">PRODUCT(F75*BI75)</f>
        <v>19.89</v>
      </c>
      <c r="BK75" s="62">
        <f t="shared" si="155"/>
        <v>131</v>
      </c>
      <c r="BL75" s="63">
        <f t="shared" si="155"/>
        <v>17.03</v>
      </c>
      <c r="BO75" s="101"/>
      <c r="BP75" s="101"/>
      <c r="BQ75" s="101"/>
      <c r="BR75" s="102" t="s">
        <v>179</v>
      </c>
      <c r="BS75" s="102" t="s">
        <v>301</v>
      </c>
      <c r="BT75" s="102" t="s">
        <v>302</v>
      </c>
      <c r="BU75" s="37" t="s">
        <v>175</v>
      </c>
      <c r="BV75" s="66">
        <f t="shared" si="156"/>
        <v>27814.261440000002</v>
      </c>
      <c r="BW75" s="66">
        <f t="shared" si="157"/>
        <v>8152.9376721589442</v>
      </c>
      <c r="BX75" s="66">
        <f t="shared" si="160"/>
        <v>29.312076791059834</v>
      </c>
      <c r="BY75" s="67"/>
      <c r="BZ75" s="68">
        <v>74</v>
      </c>
      <c r="CA75" s="74" t="s">
        <v>72</v>
      </c>
      <c r="CB75" s="69">
        <f t="shared" si="161"/>
        <v>0</v>
      </c>
      <c r="CC75" s="69">
        <f t="shared" si="162"/>
        <v>0</v>
      </c>
      <c r="CD75" s="70"/>
      <c r="CE75" s="71"/>
      <c r="CF75" s="71"/>
      <c r="CG75" s="71">
        <v>74</v>
      </c>
      <c r="CH75" s="71" t="str">
        <f t="shared" si="158"/>
        <v/>
      </c>
      <c r="CI75" s="71" t="str">
        <f t="shared" si="158"/>
        <v/>
      </c>
      <c r="CJ75" s="71" t="str">
        <f t="shared" si="158"/>
        <v/>
      </c>
      <c r="CK75" s="71" t="str">
        <f t="shared" si="158"/>
        <v/>
      </c>
      <c r="CL75" s="71" t="str">
        <f t="shared" si="158"/>
        <v/>
      </c>
      <c r="CM75" s="71" t="str">
        <f t="shared" si="158"/>
        <v/>
      </c>
      <c r="CN75" s="71" t="str">
        <f t="shared" si="158"/>
        <v/>
      </c>
      <c r="CO75" s="71" t="str">
        <f t="shared" si="158"/>
        <v/>
      </c>
      <c r="CP75" s="71" t="str">
        <f t="shared" si="158"/>
        <v/>
      </c>
      <c r="CQ75" s="71" t="str">
        <f t="shared" si="158"/>
        <v/>
      </c>
      <c r="CR75" s="71"/>
      <c r="CS75" s="71">
        <v>74</v>
      </c>
      <c r="CT75" s="71" t="str">
        <f t="shared" si="159"/>
        <v/>
      </c>
      <c r="CU75" s="71" t="str">
        <f t="shared" si="159"/>
        <v/>
      </c>
      <c r="CV75" s="71" t="str">
        <f t="shared" si="159"/>
        <v/>
      </c>
      <c r="CW75" s="71" t="str">
        <f t="shared" si="159"/>
        <v/>
      </c>
      <c r="CX75" s="71" t="str">
        <f t="shared" si="159"/>
        <v/>
      </c>
      <c r="CY75" s="71" t="str">
        <f t="shared" si="159"/>
        <v/>
      </c>
      <c r="CZ75" s="71" t="str">
        <f t="shared" si="159"/>
        <v/>
      </c>
      <c r="DA75" s="71" t="str">
        <f t="shared" si="159"/>
        <v/>
      </c>
      <c r="DB75" s="71" t="str">
        <f t="shared" si="159"/>
        <v/>
      </c>
      <c r="DC75" s="72" t="str">
        <f t="shared" si="159"/>
        <v/>
      </c>
    </row>
    <row r="76" spans="1:107" x14ac:dyDescent="0.35">
      <c r="A76" s="52">
        <v>14</v>
      </c>
      <c r="B76" s="52">
        <v>75</v>
      </c>
      <c r="C76" s="52">
        <v>1</v>
      </c>
      <c r="D76" s="52" t="s">
        <v>300</v>
      </c>
      <c r="E76" s="51" t="s">
        <v>303</v>
      </c>
      <c r="F76" s="55">
        <v>0.13</v>
      </c>
      <c r="G76" s="53">
        <v>94</v>
      </c>
      <c r="H76" s="76">
        <f t="shared" si="128"/>
        <v>12.22</v>
      </c>
      <c r="I76" s="77">
        <v>34</v>
      </c>
      <c r="J76" s="58">
        <f t="shared" si="129"/>
        <v>4.42</v>
      </c>
      <c r="K76" s="57"/>
      <c r="L76" s="58">
        <f t="shared" si="130"/>
        <v>0</v>
      </c>
      <c r="M76" s="77">
        <v>94</v>
      </c>
      <c r="N76" s="58">
        <f t="shared" si="163"/>
        <v>12.22</v>
      </c>
      <c r="O76" s="77">
        <v>94</v>
      </c>
      <c r="P76" s="58">
        <f t="shared" si="164"/>
        <v>12.22</v>
      </c>
      <c r="Q76" s="77">
        <v>71</v>
      </c>
      <c r="R76" s="58">
        <f t="shared" si="165"/>
        <v>9.23</v>
      </c>
      <c r="S76" s="77">
        <v>114</v>
      </c>
      <c r="T76" s="58">
        <f t="shared" si="166"/>
        <v>14.82</v>
      </c>
      <c r="U76" s="57">
        <v>83</v>
      </c>
      <c r="V76" s="58">
        <f t="shared" si="135"/>
        <v>10.790000000000001</v>
      </c>
      <c r="W76" s="77">
        <v>85</v>
      </c>
      <c r="X76" s="58">
        <f t="shared" si="136"/>
        <v>11.05</v>
      </c>
      <c r="Y76" s="57">
        <v>76</v>
      </c>
      <c r="Z76" s="58">
        <f t="shared" si="137"/>
        <v>9.8800000000000008</v>
      </c>
      <c r="AA76" s="57">
        <v>50</v>
      </c>
      <c r="AB76" s="58">
        <f t="shared" si="138"/>
        <v>6.5</v>
      </c>
      <c r="AC76" s="57">
        <v>87</v>
      </c>
      <c r="AD76" s="58">
        <f t="shared" si="139"/>
        <v>11.31</v>
      </c>
      <c r="AE76" s="57">
        <v>77</v>
      </c>
      <c r="AF76" s="58">
        <f t="shared" si="140"/>
        <v>10.01</v>
      </c>
      <c r="AG76" s="57">
        <v>90</v>
      </c>
      <c r="AH76" s="58">
        <f t="shared" si="141"/>
        <v>11.700000000000001</v>
      </c>
      <c r="AI76" s="61">
        <v>117</v>
      </c>
      <c r="AJ76" s="58">
        <f t="shared" si="142"/>
        <v>15.21</v>
      </c>
      <c r="AK76" s="61">
        <v>108</v>
      </c>
      <c r="AL76" s="58">
        <f t="shared" si="167"/>
        <v>14.040000000000001</v>
      </c>
      <c r="AM76" s="61">
        <v>105</v>
      </c>
      <c r="AN76" s="58">
        <f t="shared" si="168"/>
        <v>13.65</v>
      </c>
      <c r="AO76" s="61">
        <v>88</v>
      </c>
      <c r="AP76" s="58">
        <f t="shared" si="145"/>
        <v>11.440000000000001</v>
      </c>
      <c r="AQ76" s="61">
        <v>95</v>
      </c>
      <c r="AR76" s="58">
        <f t="shared" si="169"/>
        <v>12.35</v>
      </c>
      <c r="AS76" s="57">
        <v>65</v>
      </c>
      <c r="AT76" s="58">
        <f t="shared" si="170"/>
        <v>8.4500000000000011</v>
      </c>
      <c r="AU76" s="57">
        <v>66</v>
      </c>
      <c r="AV76" s="58">
        <f t="shared" si="171"/>
        <v>8.58</v>
      </c>
      <c r="AW76" s="57">
        <v>108</v>
      </c>
      <c r="AX76" s="58">
        <f t="shared" si="172"/>
        <v>14.040000000000001</v>
      </c>
      <c r="AY76" s="57">
        <v>88</v>
      </c>
      <c r="AZ76" s="58">
        <f t="shared" si="173"/>
        <v>11.440000000000001</v>
      </c>
      <c r="BA76" s="57">
        <v>63</v>
      </c>
      <c r="BB76" s="58">
        <f t="shared" si="174"/>
        <v>8.19</v>
      </c>
      <c r="BC76" s="57">
        <v>68</v>
      </c>
      <c r="BD76" s="58">
        <f t="shared" si="175"/>
        <v>8.84</v>
      </c>
      <c r="BE76" s="61">
        <v>46</v>
      </c>
      <c r="BF76" s="58">
        <f t="shared" si="176"/>
        <v>5.98</v>
      </c>
      <c r="BG76" s="61">
        <v>50</v>
      </c>
      <c r="BH76" s="58">
        <f t="shared" si="177"/>
        <v>6.5</v>
      </c>
      <c r="BI76" s="57">
        <v>52</v>
      </c>
      <c r="BJ76" s="58">
        <f t="shared" si="178"/>
        <v>6.76</v>
      </c>
      <c r="BK76" s="62">
        <f t="shared" si="155"/>
        <v>34</v>
      </c>
      <c r="BL76" s="63">
        <f t="shared" si="155"/>
        <v>4.42</v>
      </c>
      <c r="BO76" s="101"/>
      <c r="BP76" s="101"/>
      <c r="BQ76" s="101"/>
      <c r="BR76" s="102" t="s">
        <v>179</v>
      </c>
      <c r="BS76" s="102" t="s">
        <v>303</v>
      </c>
      <c r="BT76" s="102" t="s">
        <v>302</v>
      </c>
      <c r="BU76" s="37" t="s">
        <v>175</v>
      </c>
      <c r="BV76" s="66">
        <f t="shared" si="156"/>
        <v>8167.6799466666662</v>
      </c>
      <c r="BW76" s="66">
        <f t="shared" si="157"/>
        <v>505.79745415909292</v>
      </c>
      <c r="BX76" s="66">
        <f t="shared" si="160"/>
        <v>6.1926698580484318</v>
      </c>
      <c r="BY76" s="67"/>
      <c r="BZ76" s="68">
        <v>75</v>
      </c>
      <c r="CA76" s="74" t="s">
        <v>73</v>
      </c>
      <c r="CB76" s="69">
        <f t="shared" si="161"/>
        <v>47240.094826666667</v>
      </c>
      <c r="CC76" s="69">
        <f t="shared" si="162"/>
        <v>3567.5755725047411</v>
      </c>
      <c r="CD76" s="70"/>
      <c r="CE76" s="103"/>
      <c r="CF76" s="103"/>
      <c r="CG76" s="71">
        <v>75</v>
      </c>
      <c r="CH76" s="71">
        <f t="shared" si="158"/>
        <v>47240.094826666667</v>
      </c>
      <c r="CI76" s="71" t="str">
        <f t="shared" si="158"/>
        <v/>
      </c>
      <c r="CJ76" s="71" t="str">
        <f t="shared" si="158"/>
        <v/>
      </c>
      <c r="CK76" s="71" t="str">
        <f t="shared" si="158"/>
        <v/>
      </c>
      <c r="CL76" s="71" t="str">
        <f t="shared" si="158"/>
        <v/>
      </c>
      <c r="CM76" s="71" t="str">
        <f t="shared" si="158"/>
        <v/>
      </c>
      <c r="CN76" s="71" t="str">
        <f t="shared" si="158"/>
        <v/>
      </c>
      <c r="CO76" s="71" t="str">
        <f t="shared" si="158"/>
        <v/>
      </c>
      <c r="CP76" s="71" t="str">
        <f t="shared" si="158"/>
        <v/>
      </c>
      <c r="CQ76" s="71" t="str">
        <f t="shared" si="158"/>
        <v/>
      </c>
      <c r="CR76" s="71"/>
      <c r="CS76" s="71">
        <v>75</v>
      </c>
      <c r="CT76" s="71">
        <f t="shared" si="159"/>
        <v>12727595.465532532</v>
      </c>
      <c r="CU76" s="71" t="str">
        <f t="shared" si="159"/>
        <v/>
      </c>
      <c r="CV76" s="71" t="str">
        <f t="shared" si="159"/>
        <v/>
      </c>
      <c r="CW76" s="71" t="str">
        <f t="shared" si="159"/>
        <v/>
      </c>
      <c r="CX76" s="71" t="str">
        <f t="shared" si="159"/>
        <v/>
      </c>
      <c r="CY76" s="71" t="str">
        <f t="shared" si="159"/>
        <v/>
      </c>
      <c r="CZ76" s="71" t="str">
        <f t="shared" si="159"/>
        <v/>
      </c>
      <c r="DA76" s="71" t="str">
        <f t="shared" si="159"/>
        <v/>
      </c>
      <c r="DB76" s="71" t="str">
        <f t="shared" si="159"/>
        <v/>
      </c>
      <c r="DC76" s="72" t="str">
        <f t="shared" si="159"/>
        <v/>
      </c>
    </row>
    <row r="77" spans="1:107" x14ac:dyDescent="0.35">
      <c r="A77" s="52">
        <v>15</v>
      </c>
      <c r="B77" s="52">
        <v>76</v>
      </c>
      <c r="C77" s="52">
        <v>1</v>
      </c>
      <c r="D77" s="52" t="s">
        <v>300</v>
      </c>
      <c r="E77" s="51" t="s">
        <v>304</v>
      </c>
      <c r="F77" s="55">
        <v>0.13</v>
      </c>
      <c r="G77" s="53">
        <v>65</v>
      </c>
      <c r="H77" s="76">
        <f t="shared" si="128"/>
        <v>8.4500000000000011</v>
      </c>
      <c r="I77" s="77">
        <v>24</v>
      </c>
      <c r="J77" s="58">
        <f t="shared" si="129"/>
        <v>3.12</v>
      </c>
      <c r="K77" s="57"/>
      <c r="L77" s="58">
        <f t="shared" si="130"/>
        <v>0</v>
      </c>
      <c r="M77" s="77">
        <v>65</v>
      </c>
      <c r="N77" s="58">
        <f t="shared" si="163"/>
        <v>8.4500000000000011</v>
      </c>
      <c r="O77" s="77">
        <v>65</v>
      </c>
      <c r="P77" s="58">
        <f t="shared" si="164"/>
        <v>8.4500000000000011</v>
      </c>
      <c r="Q77" s="77">
        <v>32</v>
      </c>
      <c r="R77" s="58">
        <f t="shared" si="165"/>
        <v>4.16</v>
      </c>
      <c r="S77" s="77">
        <v>47</v>
      </c>
      <c r="T77" s="58">
        <f t="shared" si="166"/>
        <v>6.11</v>
      </c>
      <c r="U77" s="57">
        <v>32</v>
      </c>
      <c r="V77" s="58">
        <f t="shared" si="135"/>
        <v>4.16</v>
      </c>
      <c r="W77" s="77">
        <v>32</v>
      </c>
      <c r="X77" s="58">
        <f t="shared" si="136"/>
        <v>4.16</v>
      </c>
      <c r="Y77" s="57">
        <v>29</v>
      </c>
      <c r="Z77" s="58">
        <f t="shared" si="137"/>
        <v>3.77</v>
      </c>
      <c r="AA77" s="57">
        <v>32</v>
      </c>
      <c r="AB77" s="58">
        <f t="shared" si="138"/>
        <v>4.16</v>
      </c>
      <c r="AC77" s="57">
        <v>44</v>
      </c>
      <c r="AD77" s="58">
        <f t="shared" si="139"/>
        <v>5.7200000000000006</v>
      </c>
      <c r="AE77" s="57">
        <v>40</v>
      </c>
      <c r="AF77" s="58">
        <f t="shared" si="140"/>
        <v>5.2</v>
      </c>
      <c r="AG77" s="57">
        <v>49</v>
      </c>
      <c r="AH77" s="58">
        <f t="shared" si="141"/>
        <v>6.37</v>
      </c>
      <c r="AI77" s="61">
        <v>53</v>
      </c>
      <c r="AJ77" s="58">
        <f t="shared" si="142"/>
        <v>6.8900000000000006</v>
      </c>
      <c r="AK77" s="61">
        <v>42</v>
      </c>
      <c r="AL77" s="58">
        <f t="shared" si="167"/>
        <v>5.46</v>
      </c>
      <c r="AM77" s="61">
        <v>42</v>
      </c>
      <c r="AN77" s="58">
        <f t="shared" si="168"/>
        <v>5.46</v>
      </c>
      <c r="AO77" s="61">
        <v>43</v>
      </c>
      <c r="AP77" s="58">
        <f t="shared" si="145"/>
        <v>5.59</v>
      </c>
      <c r="AQ77" s="61">
        <v>51</v>
      </c>
      <c r="AR77" s="58">
        <f t="shared" si="169"/>
        <v>6.63</v>
      </c>
      <c r="AS77" s="57">
        <v>31</v>
      </c>
      <c r="AT77" s="58">
        <f t="shared" si="170"/>
        <v>4.03</v>
      </c>
      <c r="AU77" s="57">
        <v>28</v>
      </c>
      <c r="AV77" s="58">
        <f t="shared" si="171"/>
        <v>3.64</v>
      </c>
      <c r="AW77" s="57">
        <v>48</v>
      </c>
      <c r="AX77" s="58">
        <f t="shared" si="172"/>
        <v>6.24</v>
      </c>
      <c r="AY77" s="57">
        <v>49</v>
      </c>
      <c r="AZ77" s="58">
        <f t="shared" si="173"/>
        <v>6.37</v>
      </c>
      <c r="BA77" s="57">
        <v>56</v>
      </c>
      <c r="BB77" s="58">
        <f t="shared" si="174"/>
        <v>7.28</v>
      </c>
      <c r="BC77" s="57">
        <v>29</v>
      </c>
      <c r="BD77" s="58">
        <f t="shared" si="175"/>
        <v>3.77</v>
      </c>
      <c r="BE77" s="61">
        <v>31</v>
      </c>
      <c r="BF77" s="58">
        <f t="shared" si="176"/>
        <v>4.03</v>
      </c>
      <c r="BG77" s="61">
        <v>29</v>
      </c>
      <c r="BH77" s="58">
        <f t="shared" si="177"/>
        <v>3.77</v>
      </c>
      <c r="BI77" s="57">
        <v>30</v>
      </c>
      <c r="BJ77" s="58">
        <f t="shared" si="178"/>
        <v>3.9000000000000004</v>
      </c>
      <c r="BK77" s="62">
        <f t="shared" si="155"/>
        <v>24</v>
      </c>
      <c r="BL77" s="63">
        <f t="shared" si="155"/>
        <v>3.12</v>
      </c>
      <c r="BO77" s="101"/>
      <c r="BP77" s="101"/>
      <c r="BQ77" s="101"/>
      <c r="BR77" s="102" t="s">
        <v>179</v>
      </c>
      <c r="BS77" s="102" t="s">
        <v>304</v>
      </c>
      <c r="BT77" s="102" t="s">
        <v>302</v>
      </c>
      <c r="BU77" s="37" t="s">
        <v>175</v>
      </c>
      <c r="BV77" s="66">
        <f t="shared" si="156"/>
        <v>4966.8323999999993</v>
      </c>
      <c r="BW77" s="66">
        <f t="shared" si="157"/>
        <v>165.56108</v>
      </c>
      <c r="BX77" s="66">
        <f t="shared" si="160"/>
        <v>3.3333333333333339</v>
      </c>
      <c r="BY77" s="67"/>
      <c r="BZ77" s="68">
        <v>76</v>
      </c>
      <c r="CA77" s="74" t="s">
        <v>74</v>
      </c>
      <c r="CB77" s="69">
        <f t="shared" si="161"/>
        <v>0</v>
      </c>
      <c r="CC77" s="69">
        <f t="shared" si="162"/>
        <v>0</v>
      </c>
      <c r="CD77" s="70"/>
      <c r="CE77" s="71"/>
      <c r="CF77" s="71"/>
      <c r="CG77" s="71">
        <v>76</v>
      </c>
      <c r="CH77" s="71" t="str">
        <f t="shared" si="158"/>
        <v/>
      </c>
      <c r="CI77" s="71" t="str">
        <f t="shared" si="158"/>
        <v/>
      </c>
      <c r="CJ77" s="71" t="str">
        <f t="shared" si="158"/>
        <v/>
      </c>
      <c r="CK77" s="71" t="str">
        <f t="shared" si="158"/>
        <v/>
      </c>
      <c r="CL77" s="71" t="str">
        <f t="shared" si="158"/>
        <v/>
      </c>
      <c r="CM77" s="71" t="str">
        <f t="shared" si="158"/>
        <v/>
      </c>
      <c r="CN77" s="71" t="str">
        <f t="shared" si="158"/>
        <v/>
      </c>
      <c r="CO77" s="71" t="str">
        <f t="shared" si="158"/>
        <v/>
      </c>
      <c r="CP77" s="71" t="str">
        <f t="shared" si="158"/>
        <v/>
      </c>
      <c r="CQ77" s="71" t="str">
        <f t="shared" si="158"/>
        <v/>
      </c>
      <c r="CR77" s="71"/>
      <c r="CS77" s="71">
        <v>76</v>
      </c>
      <c r="CT77" s="71" t="str">
        <f t="shared" si="159"/>
        <v/>
      </c>
      <c r="CU77" s="71" t="str">
        <f t="shared" si="159"/>
        <v/>
      </c>
      <c r="CV77" s="71" t="str">
        <f t="shared" si="159"/>
        <v/>
      </c>
      <c r="CW77" s="71" t="str">
        <f t="shared" si="159"/>
        <v/>
      </c>
      <c r="CX77" s="71" t="str">
        <f t="shared" si="159"/>
        <v/>
      </c>
      <c r="CY77" s="71" t="str">
        <f t="shared" si="159"/>
        <v/>
      </c>
      <c r="CZ77" s="71" t="str">
        <f t="shared" si="159"/>
        <v/>
      </c>
      <c r="DA77" s="71" t="str">
        <f t="shared" si="159"/>
        <v/>
      </c>
      <c r="DB77" s="71" t="str">
        <f t="shared" si="159"/>
        <v/>
      </c>
      <c r="DC77" s="72" t="str">
        <f t="shared" si="159"/>
        <v/>
      </c>
    </row>
    <row r="78" spans="1:107" x14ac:dyDescent="0.35">
      <c r="A78" s="52">
        <v>16</v>
      </c>
      <c r="B78" s="52">
        <v>77</v>
      </c>
      <c r="C78" s="52">
        <v>1</v>
      </c>
      <c r="D78" s="52" t="s">
        <v>300</v>
      </c>
      <c r="E78" s="51" t="s">
        <v>305</v>
      </c>
      <c r="F78" s="55">
        <v>0.13</v>
      </c>
      <c r="G78" s="53">
        <v>145</v>
      </c>
      <c r="H78" s="76">
        <f t="shared" si="128"/>
        <v>18.850000000000001</v>
      </c>
      <c r="I78" s="77">
        <v>53</v>
      </c>
      <c r="J78" s="58">
        <f t="shared" si="129"/>
        <v>6.8900000000000006</v>
      </c>
      <c r="K78" s="57"/>
      <c r="L78" s="58">
        <f t="shared" si="130"/>
        <v>0</v>
      </c>
      <c r="M78" s="77">
        <v>90</v>
      </c>
      <c r="N78" s="58">
        <f t="shared" si="163"/>
        <v>11.700000000000001</v>
      </c>
      <c r="O78" s="77">
        <v>128</v>
      </c>
      <c r="P78" s="58">
        <f t="shared" si="164"/>
        <v>16.64</v>
      </c>
      <c r="Q78" s="77">
        <v>136</v>
      </c>
      <c r="R78" s="58">
        <f t="shared" si="165"/>
        <v>17.68</v>
      </c>
      <c r="S78" s="77">
        <v>128</v>
      </c>
      <c r="T78" s="58">
        <f t="shared" si="166"/>
        <v>16.64</v>
      </c>
      <c r="U78" s="57">
        <v>178</v>
      </c>
      <c r="V78" s="58">
        <f t="shared" si="135"/>
        <v>23.14</v>
      </c>
      <c r="W78" s="77">
        <v>147</v>
      </c>
      <c r="X78" s="58">
        <f t="shared" si="136"/>
        <v>19.11</v>
      </c>
      <c r="Y78" s="57">
        <v>94</v>
      </c>
      <c r="Z78" s="58">
        <f t="shared" si="137"/>
        <v>12.22</v>
      </c>
      <c r="AA78" s="57">
        <v>164</v>
      </c>
      <c r="AB78" s="58">
        <f t="shared" si="138"/>
        <v>21.32</v>
      </c>
      <c r="AC78" s="57">
        <v>170</v>
      </c>
      <c r="AD78" s="58">
        <f t="shared" si="139"/>
        <v>22.1</v>
      </c>
      <c r="AE78" s="57">
        <v>174</v>
      </c>
      <c r="AF78" s="58">
        <f t="shared" si="140"/>
        <v>22.62</v>
      </c>
      <c r="AG78" s="57">
        <v>193</v>
      </c>
      <c r="AH78" s="58">
        <f t="shared" si="141"/>
        <v>25.09</v>
      </c>
      <c r="AI78" s="61">
        <v>204</v>
      </c>
      <c r="AJ78" s="58">
        <f t="shared" si="142"/>
        <v>26.52</v>
      </c>
      <c r="AK78" s="61">
        <v>206</v>
      </c>
      <c r="AL78" s="58">
        <f t="shared" si="167"/>
        <v>26.78</v>
      </c>
      <c r="AM78" s="61">
        <v>206</v>
      </c>
      <c r="AN78" s="58">
        <f t="shared" si="168"/>
        <v>26.78</v>
      </c>
      <c r="AO78" s="61">
        <v>157</v>
      </c>
      <c r="AP78" s="58">
        <f t="shared" si="145"/>
        <v>20.41</v>
      </c>
      <c r="AQ78" s="61">
        <v>140</v>
      </c>
      <c r="AR78" s="58">
        <f t="shared" si="169"/>
        <v>18.2</v>
      </c>
      <c r="AS78" s="57">
        <v>147</v>
      </c>
      <c r="AT78" s="58">
        <f t="shared" si="170"/>
        <v>19.11</v>
      </c>
      <c r="AU78" s="57">
        <v>153</v>
      </c>
      <c r="AV78" s="58">
        <f t="shared" si="171"/>
        <v>19.89</v>
      </c>
      <c r="AW78" s="57">
        <v>68</v>
      </c>
      <c r="AX78" s="58">
        <f t="shared" si="172"/>
        <v>8.84</v>
      </c>
      <c r="AY78" s="57">
        <v>42</v>
      </c>
      <c r="AZ78" s="58">
        <f t="shared" si="173"/>
        <v>5.46</v>
      </c>
      <c r="BA78" s="57">
        <v>43</v>
      </c>
      <c r="BB78" s="58">
        <f t="shared" si="174"/>
        <v>5.59</v>
      </c>
      <c r="BC78" s="57">
        <v>44</v>
      </c>
      <c r="BD78" s="58">
        <f t="shared" si="175"/>
        <v>5.7200000000000006</v>
      </c>
      <c r="BE78" s="61">
        <v>35</v>
      </c>
      <c r="BF78" s="58">
        <f t="shared" si="176"/>
        <v>4.55</v>
      </c>
      <c r="BG78" s="61">
        <v>36</v>
      </c>
      <c r="BH78" s="58">
        <f t="shared" si="177"/>
        <v>4.68</v>
      </c>
      <c r="BI78" s="57">
        <v>44</v>
      </c>
      <c r="BJ78" s="58">
        <f t="shared" si="178"/>
        <v>5.7200000000000006</v>
      </c>
      <c r="BK78" s="62">
        <f t="shared" si="155"/>
        <v>53</v>
      </c>
      <c r="BL78" s="63">
        <f t="shared" si="155"/>
        <v>6.8900000000000006</v>
      </c>
      <c r="BO78" s="101"/>
      <c r="BP78" s="101"/>
      <c r="BQ78" s="101"/>
      <c r="BR78" s="102" t="s">
        <v>179</v>
      </c>
      <c r="BS78" s="102" t="s">
        <v>305</v>
      </c>
      <c r="BT78" s="102" t="s">
        <v>302</v>
      </c>
      <c r="BU78" s="37" t="s">
        <v>175</v>
      </c>
      <c r="BV78" s="66">
        <f t="shared" si="156"/>
        <v>6346.5080666666672</v>
      </c>
      <c r="BW78" s="66">
        <f t="shared" si="157"/>
        <v>816.69341419857187</v>
      </c>
      <c r="BX78" s="66">
        <f t="shared" si="160"/>
        <v>12.868390075607641</v>
      </c>
      <c r="BY78" s="67"/>
      <c r="BZ78" s="68">
        <v>77</v>
      </c>
      <c r="CA78" s="74" t="s">
        <v>75</v>
      </c>
      <c r="CB78" s="69">
        <f t="shared" si="161"/>
        <v>0</v>
      </c>
      <c r="CC78" s="69">
        <f t="shared" si="162"/>
        <v>0</v>
      </c>
      <c r="CD78" s="70"/>
      <c r="CE78" s="71"/>
      <c r="CF78" s="71"/>
      <c r="CG78" s="71">
        <v>77</v>
      </c>
      <c r="CH78" s="71" t="str">
        <f t="shared" si="158"/>
        <v/>
      </c>
      <c r="CI78" s="71" t="str">
        <f t="shared" si="158"/>
        <v/>
      </c>
      <c r="CJ78" s="71" t="str">
        <f t="shared" si="158"/>
        <v/>
      </c>
      <c r="CK78" s="71" t="str">
        <f t="shared" si="158"/>
        <v/>
      </c>
      <c r="CL78" s="71" t="str">
        <f t="shared" si="158"/>
        <v/>
      </c>
      <c r="CM78" s="71" t="str">
        <f t="shared" si="158"/>
        <v/>
      </c>
      <c r="CN78" s="71" t="str">
        <f t="shared" si="158"/>
        <v/>
      </c>
      <c r="CO78" s="71" t="str">
        <f t="shared" si="158"/>
        <v/>
      </c>
      <c r="CP78" s="71" t="str">
        <f t="shared" si="158"/>
        <v/>
      </c>
      <c r="CQ78" s="71" t="str">
        <f t="shared" si="158"/>
        <v/>
      </c>
      <c r="CR78" s="71"/>
      <c r="CS78" s="71">
        <v>77</v>
      </c>
      <c r="CT78" s="71" t="str">
        <f t="shared" si="159"/>
        <v/>
      </c>
      <c r="CU78" s="71" t="str">
        <f t="shared" si="159"/>
        <v/>
      </c>
      <c r="CV78" s="71" t="str">
        <f t="shared" si="159"/>
        <v/>
      </c>
      <c r="CW78" s="71" t="str">
        <f t="shared" si="159"/>
        <v/>
      </c>
      <c r="CX78" s="71" t="str">
        <f t="shared" si="159"/>
        <v/>
      </c>
      <c r="CY78" s="71" t="str">
        <f t="shared" si="159"/>
        <v/>
      </c>
      <c r="CZ78" s="71" t="str">
        <f t="shared" si="159"/>
        <v/>
      </c>
      <c r="DA78" s="71" t="str">
        <f t="shared" si="159"/>
        <v/>
      </c>
      <c r="DB78" s="71" t="str">
        <f t="shared" si="159"/>
        <v/>
      </c>
      <c r="DC78" s="72" t="str">
        <f t="shared" si="159"/>
        <v/>
      </c>
    </row>
    <row r="79" spans="1:107" x14ac:dyDescent="0.35">
      <c r="A79" s="52">
        <v>17</v>
      </c>
      <c r="B79" s="52">
        <v>78</v>
      </c>
      <c r="C79" s="52">
        <v>1</v>
      </c>
      <c r="D79" s="52" t="s">
        <v>300</v>
      </c>
      <c r="E79" s="51" t="s">
        <v>306</v>
      </c>
      <c r="F79" s="55">
        <v>0.13</v>
      </c>
      <c r="G79" s="53">
        <v>28</v>
      </c>
      <c r="H79" s="76">
        <f t="shared" si="128"/>
        <v>3.64</v>
      </c>
      <c r="I79" s="77">
        <v>10</v>
      </c>
      <c r="J79" s="58">
        <f t="shared" si="129"/>
        <v>1.3</v>
      </c>
      <c r="K79" s="57"/>
      <c r="L79" s="58">
        <f t="shared" si="130"/>
        <v>0</v>
      </c>
      <c r="M79" s="77">
        <v>28</v>
      </c>
      <c r="N79" s="58">
        <f t="shared" si="163"/>
        <v>3.64</v>
      </c>
      <c r="O79" s="77">
        <v>28</v>
      </c>
      <c r="P79" s="58">
        <f t="shared" si="164"/>
        <v>3.64</v>
      </c>
      <c r="Q79" s="77">
        <v>26</v>
      </c>
      <c r="R79" s="58">
        <f t="shared" si="165"/>
        <v>3.38</v>
      </c>
      <c r="S79" s="77">
        <v>26</v>
      </c>
      <c r="T79" s="58">
        <f t="shared" si="166"/>
        <v>3.38</v>
      </c>
      <c r="U79" s="57">
        <v>28</v>
      </c>
      <c r="V79" s="58">
        <f t="shared" si="135"/>
        <v>3.64</v>
      </c>
      <c r="W79" s="77">
        <v>28</v>
      </c>
      <c r="X79" s="58">
        <f t="shared" si="136"/>
        <v>3.64</v>
      </c>
      <c r="Y79" s="57">
        <v>16</v>
      </c>
      <c r="Z79" s="58">
        <f t="shared" si="137"/>
        <v>2.08</v>
      </c>
      <c r="AA79" s="57">
        <v>22</v>
      </c>
      <c r="AB79" s="58">
        <f t="shared" si="138"/>
        <v>2.8600000000000003</v>
      </c>
      <c r="AC79" s="57">
        <v>35</v>
      </c>
      <c r="AD79" s="58">
        <f t="shared" si="139"/>
        <v>4.55</v>
      </c>
      <c r="AE79" s="57">
        <v>29</v>
      </c>
      <c r="AF79" s="58">
        <f t="shared" si="140"/>
        <v>3.77</v>
      </c>
      <c r="AG79" s="57">
        <v>33</v>
      </c>
      <c r="AH79" s="58">
        <f t="shared" si="141"/>
        <v>4.29</v>
      </c>
      <c r="AI79" s="61">
        <v>28</v>
      </c>
      <c r="AJ79" s="58">
        <f t="shared" si="142"/>
        <v>3.64</v>
      </c>
      <c r="AK79" s="61">
        <v>28</v>
      </c>
      <c r="AL79" s="58">
        <f t="shared" si="167"/>
        <v>3.64</v>
      </c>
      <c r="AM79" s="61">
        <v>21</v>
      </c>
      <c r="AN79" s="58">
        <f t="shared" si="168"/>
        <v>2.73</v>
      </c>
      <c r="AO79" s="61">
        <v>18</v>
      </c>
      <c r="AP79" s="58">
        <f t="shared" si="145"/>
        <v>2.34</v>
      </c>
      <c r="AQ79" s="61">
        <v>30</v>
      </c>
      <c r="AR79" s="58">
        <f t="shared" si="169"/>
        <v>3.9000000000000004</v>
      </c>
      <c r="AS79" s="57">
        <v>29</v>
      </c>
      <c r="AT79" s="58">
        <f t="shared" si="170"/>
        <v>3.77</v>
      </c>
      <c r="AU79" s="57">
        <v>44</v>
      </c>
      <c r="AV79" s="58">
        <f t="shared" si="171"/>
        <v>5.7200000000000006</v>
      </c>
      <c r="AW79" s="57">
        <v>31</v>
      </c>
      <c r="AX79" s="58">
        <f t="shared" si="172"/>
        <v>4.03</v>
      </c>
      <c r="AY79" s="57">
        <v>47</v>
      </c>
      <c r="AZ79" s="58">
        <f t="shared" si="173"/>
        <v>6.11</v>
      </c>
      <c r="BA79" s="57">
        <v>36</v>
      </c>
      <c r="BB79" s="58">
        <f t="shared" si="174"/>
        <v>4.68</v>
      </c>
      <c r="BC79" s="57">
        <v>41</v>
      </c>
      <c r="BD79" s="58">
        <f t="shared" si="175"/>
        <v>5.33</v>
      </c>
      <c r="BE79" s="57">
        <v>45</v>
      </c>
      <c r="BF79" s="58">
        <f t="shared" si="176"/>
        <v>5.8500000000000005</v>
      </c>
      <c r="BG79" s="57">
        <v>48</v>
      </c>
      <c r="BH79" s="58">
        <f t="shared" si="177"/>
        <v>6.24</v>
      </c>
      <c r="BI79" s="57">
        <v>32</v>
      </c>
      <c r="BJ79" s="58">
        <f t="shared" si="178"/>
        <v>4.16</v>
      </c>
      <c r="BK79" s="62">
        <f t="shared" si="155"/>
        <v>10</v>
      </c>
      <c r="BL79" s="63">
        <f t="shared" si="155"/>
        <v>1.3</v>
      </c>
      <c r="BO79" s="101"/>
      <c r="BP79" s="101"/>
      <c r="BQ79" s="101"/>
      <c r="BR79" s="102" t="s">
        <v>179</v>
      </c>
      <c r="BS79" s="102" t="s">
        <v>306</v>
      </c>
      <c r="BT79" s="102" t="s">
        <v>302</v>
      </c>
      <c r="BU79" s="37" t="s">
        <v>175</v>
      </c>
      <c r="BV79" s="66">
        <f t="shared" si="156"/>
        <v>6898.3783333333331</v>
      </c>
      <c r="BW79" s="66">
        <f t="shared" si="157"/>
        <v>1408.080520038576</v>
      </c>
      <c r="BX79" s="66">
        <f t="shared" si="160"/>
        <v>20.411761315476937</v>
      </c>
      <c r="BY79" s="67"/>
      <c r="BZ79" s="68">
        <v>78</v>
      </c>
      <c r="CA79" s="88" t="s">
        <v>76</v>
      </c>
      <c r="CB79" s="69">
        <f t="shared" si="161"/>
        <v>0</v>
      </c>
      <c r="CC79" s="69">
        <f t="shared" si="162"/>
        <v>0</v>
      </c>
      <c r="CD79" s="70"/>
      <c r="CE79" s="71"/>
      <c r="CF79" s="71"/>
      <c r="CG79" s="71">
        <v>78</v>
      </c>
      <c r="CH79" s="71" t="str">
        <f t="shared" si="158"/>
        <v/>
      </c>
      <c r="CI79" s="71" t="str">
        <f t="shared" si="158"/>
        <v/>
      </c>
      <c r="CJ79" s="71" t="str">
        <f t="shared" si="158"/>
        <v/>
      </c>
      <c r="CK79" s="71" t="str">
        <f t="shared" si="158"/>
        <v/>
      </c>
      <c r="CL79" s="71" t="str">
        <f t="shared" si="158"/>
        <v/>
      </c>
      <c r="CM79" s="71" t="str">
        <f t="shared" si="158"/>
        <v/>
      </c>
      <c r="CN79" s="71" t="str">
        <f t="shared" si="158"/>
        <v/>
      </c>
      <c r="CO79" s="71" t="str">
        <f t="shared" si="158"/>
        <v/>
      </c>
      <c r="CP79" s="71" t="str">
        <f t="shared" si="158"/>
        <v/>
      </c>
      <c r="CQ79" s="71" t="str">
        <f t="shared" si="158"/>
        <v/>
      </c>
      <c r="CR79" s="71"/>
      <c r="CS79" s="71">
        <v>78</v>
      </c>
      <c r="CT79" s="71" t="str">
        <f t="shared" si="159"/>
        <v/>
      </c>
      <c r="CU79" s="71" t="str">
        <f t="shared" si="159"/>
        <v/>
      </c>
      <c r="CV79" s="71" t="str">
        <f t="shared" si="159"/>
        <v/>
      </c>
      <c r="CW79" s="71" t="str">
        <f t="shared" si="159"/>
        <v/>
      </c>
      <c r="CX79" s="71" t="str">
        <f t="shared" si="159"/>
        <v/>
      </c>
      <c r="CY79" s="71" t="str">
        <f t="shared" si="159"/>
        <v/>
      </c>
      <c r="CZ79" s="71" t="str">
        <f t="shared" si="159"/>
        <v/>
      </c>
      <c r="DA79" s="71" t="str">
        <f t="shared" si="159"/>
        <v/>
      </c>
      <c r="DB79" s="71" t="str">
        <f t="shared" si="159"/>
        <v/>
      </c>
      <c r="DC79" s="72" t="str">
        <f t="shared" si="159"/>
        <v/>
      </c>
    </row>
    <row r="80" spans="1:107" x14ac:dyDescent="0.35">
      <c r="A80" s="52">
        <v>18</v>
      </c>
      <c r="B80" s="52">
        <v>79</v>
      </c>
      <c r="C80" s="52">
        <v>1</v>
      </c>
      <c r="D80" s="52" t="s">
        <v>307</v>
      </c>
      <c r="E80" s="51" t="s">
        <v>308</v>
      </c>
      <c r="F80" s="55">
        <v>0.14000000000000001</v>
      </c>
      <c r="G80" s="53">
        <v>164</v>
      </c>
      <c r="H80" s="76">
        <f t="shared" si="128"/>
        <v>22.96</v>
      </c>
      <c r="I80" s="77">
        <v>60</v>
      </c>
      <c r="J80" s="58">
        <f t="shared" si="129"/>
        <v>8.4</v>
      </c>
      <c r="K80" s="57"/>
      <c r="L80" s="58">
        <f t="shared" si="130"/>
        <v>0</v>
      </c>
      <c r="M80" s="77">
        <v>166</v>
      </c>
      <c r="N80" s="58">
        <f t="shared" si="163"/>
        <v>23.240000000000002</v>
      </c>
      <c r="O80" s="77">
        <v>166</v>
      </c>
      <c r="P80" s="58">
        <f t="shared" si="164"/>
        <v>23.240000000000002</v>
      </c>
      <c r="Q80" s="77">
        <v>237</v>
      </c>
      <c r="R80" s="58">
        <f t="shared" si="165"/>
        <v>33.18</v>
      </c>
      <c r="S80" s="77">
        <v>221</v>
      </c>
      <c r="T80" s="58">
        <f t="shared" si="166"/>
        <v>30.94</v>
      </c>
      <c r="U80" s="57">
        <v>190</v>
      </c>
      <c r="V80" s="58">
        <f t="shared" si="135"/>
        <v>26.6</v>
      </c>
      <c r="W80" s="77">
        <v>194</v>
      </c>
      <c r="X80" s="58">
        <f t="shared" si="136"/>
        <v>27.160000000000004</v>
      </c>
      <c r="Y80" s="57">
        <v>139</v>
      </c>
      <c r="Z80" s="58">
        <f t="shared" si="137"/>
        <v>19.46</v>
      </c>
      <c r="AA80" s="57">
        <v>136</v>
      </c>
      <c r="AB80" s="58">
        <f t="shared" si="138"/>
        <v>19.040000000000003</v>
      </c>
      <c r="AC80" s="57">
        <v>130</v>
      </c>
      <c r="AD80" s="58">
        <f t="shared" si="139"/>
        <v>18.200000000000003</v>
      </c>
      <c r="AE80" s="57">
        <v>121</v>
      </c>
      <c r="AF80" s="58">
        <f t="shared" si="140"/>
        <v>16.940000000000001</v>
      </c>
      <c r="AG80" s="57">
        <v>131</v>
      </c>
      <c r="AH80" s="58">
        <f t="shared" si="141"/>
        <v>18.340000000000003</v>
      </c>
      <c r="AI80" s="61">
        <v>115</v>
      </c>
      <c r="AJ80" s="58">
        <f t="shared" si="142"/>
        <v>16.100000000000001</v>
      </c>
      <c r="AK80" s="61">
        <v>120</v>
      </c>
      <c r="AL80" s="58">
        <f t="shared" si="167"/>
        <v>16.8</v>
      </c>
      <c r="AM80" s="61">
        <v>160</v>
      </c>
      <c r="AN80" s="58">
        <f t="shared" si="168"/>
        <v>22.400000000000002</v>
      </c>
      <c r="AO80" s="61">
        <v>162</v>
      </c>
      <c r="AP80" s="58">
        <f t="shared" si="145"/>
        <v>22.680000000000003</v>
      </c>
      <c r="AQ80" s="61">
        <v>129</v>
      </c>
      <c r="AR80" s="58">
        <f t="shared" si="169"/>
        <v>18.060000000000002</v>
      </c>
      <c r="AS80" s="57">
        <v>191</v>
      </c>
      <c r="AT80" s="58">
        <f t="shared" si="170"/>
        <v>26.740000000000002</v>
      </c>
      <c r="AU80" s="57">
        <v>208</v>
      </c>
      <c r="AV80" s="58">
        <f t="shared" si="171"/>
        <v>29.120000000000005</v>
      </c>
      <c r="AW80" s="57">
        <v>164</v>
      </c>
      <c r="AX80" s="58">
        <f t="shared" si="172"/>
        <v>22.96</v>
      </c>
      <c r="AY80" s="57">
        <v>89</v>
      </c>
      <c r="AZ80" s="58">
        <f t="shared" si="173"/>
        <v>12.46</v>
      </c>
      <c r="BA80" s="57">
        <v>74</v>
      </c>
      <c r="BB80" s="58">
        <f t="shared" si="174"/>
        <v>10.360000000000001</v>
      </c>
      <c r="BC80" s="57">
        <v>63</v>
      </c>
      <c r="BD80" s="58">
        <f t="shared" si="175"/>
        <v>8.82</v>
      </c>
      <c r="BE80" s="61">
        <v>76</v>
      </c>
      <c r="BF80" s="58">
        <f t="shared" si="176"/>
        <v>10.64</v>
      </c>
      <c r="BG80" s="61">
        <v>88</v>
      </c>
      <c r="BH80" s="58">
        <f t="shared" si="177"/>
        <v>12.32</v>
      </c>
      <c r="BI80" s="57">
        <v>79</v>
      </c>
      <c r="BJ80" s="58">
        <f t="shared" si="178"/>
        <v>11.06</v>
      </c>
      <c r="BK80" s="62">
        <f t="shared" si="155"/>
        <v>60</v>
      </c>
      <c r="BL80" s="63">
        <f t="shared" si="155"/>
        <v>8.4</v>
      </c>
      <c r="BO80" s="101"/>
      <c r="BP80" s="101"/>
      <c r="BQ80" s="101"/>
      <c r="BR80" s="102" t="s">
        <v>179</v>
      </c>
      <c r="BS80" s="102" t="s">
        <v>308</v>
      </c>
      <c r="BT80" s="102" t="s">
        <v>309</v>
      </c>
      <c r="BU80" s="37" t="s">
        <v>175</v>
      </c>
      <c r="BV80" s="66">
        <f t="shared" si="156"/>
        <v>13410.447480000001</v>
      </c>
      <c r="BW80" s="66">
        <f t="shared" si="157"/>
        <v>1033.9286132126772</v>
      </c>
      <c r="BX80" s="66">
        <f t="shared" si="160"/>
        <v>7.7098740720967882</v>
      </c>
      <c r="BY80" s="67"/>
      <c r="BZ80" s="68">
        <v>79</v>
      </c>
      <c r="CA80" s="74" t="s">
        <v>77</v>
      </c>
      <c r="CB80" s="69">
        <f t="shared" si="161"/>
        <v>0</v>
      </c>
      <c r="CC80" s="69">
        <f t="shared" si="162"/>
        <v>0</v>
      </c>
      <c r="CD80" s="70"/>
      <c r="CE80" s="71"/>
      <c r="CF80" s="71"/>
      <c r="CG80" s="71">
        <v>79</v>
      </c>
      <c r="CH80" s="71" t="str">
        <f t="shared" si="158"/>
        <v/>
      </c>
      <c r="CI80" s="71" t="str">
        <f t="shared" si="158"/>
        <v/>
      </c>
      <c r="CJ80" s="71" t="str">
        <f t="shared" si="158"/>
        <v/>
      </c>
      <c r="CK80" s="71" t="str">
        <f t="shared" si="158"/>
        <v/>
      </c>
      <c r="CL80" s="71" t="str">
        <f t="shared" si="158"/>
        <v/>
      </c>
      <c r="CM80" s="71" t="str">
        <f t="shared" si="158"/>
        <v/>
      </c>
      <c r="CN80" s="71" t="str">
        <f t="shared" si="158"/>
        <v/>
      </c>
      <c r="CO80" s="71" t="str">
        <f t="shared" si="158"/>
        <v/>
      </c>
      <c r="CP80" s="71" t="str">
        <f t="shared" si="158"/>
        <v/>
      </c>
      <c r="CQ80" s="71" t="str">
        <f t="shared" si="158"/>
        <v/>
      </c>
      <c r="CR80" s="71"/>
      <c r="CS80" s="71">
        <v>79</v>
      </c>
      <c r="CT80" s="71" t="str">
        <f t="shared" si="159"/>
        <v/>
      </c>
      <c r="CU80" s="71" t="str">
        <f t="shared" si="159"/>
        <v/>
      </c>
      <c r="CV80" s="71" t="str">
        <f t="shared" si="159"/>
        <v/>
      </c>
      <c r="CW80" s="71" t="str">
        <f t="shared" si="159"/>
        <v/>
      </c>
      <c r="CX80" s="71" t="str">
        <f t="shared" si="159"/>
        <v/>
      </c>
      <c r="CY80" s="71" t="str">
        <f t="shared" si="159"/>
        <v/>
      </c>
      <c r="CZ80" s="71" t="str">
        <f t="shared" si="159"/>
        <v/>
      </c>
      <c r="DA80" s="71" t="str">
        <f t="shared" si="159"/>
        <v/>
      </c>
      <c r="DB80" s="71" t="str">
        <f t="shared" si="159"/>
        <v/>
      </c>
      <c r="DC80" s="72" t="str">
        <f t="shared" si="159"/>
        <v/>
      </c>
    </row>
    <row r="81" spans="1:107" x14ac:dyDescent="0.35">
      <c r="A81" s="52">
        <v>19</v>
      </c>
      <c r="B81" s="52">
        <v>80</v>
      </c>
      <c r="C81" s="52">
        <v>1</v>
      </c>
      <c r="D81" s="52" t="s">
        <v>307</v>
      </c>
      <c r="E81" s="51" t="s">
        <v>310</v>
      </c>
      <c r="F81" s="55">
        <v>0.14000000000000001</v>
      </c>
      <c r="G81" s="53">
        <v>120</v>
      </c>
      <c r="H81" s="76">
        <f t="shared" si="128"/>
        <v>16.8</v>
      </c>
      <c r="I81" s="77">
        <v>44</v>
      </c>
      <c r="J81" s="58">
        <f t="shared" si="129"/>
        <v>6.16</v>
      </c>
      <c r="K81" s="57"/>
      <c r="L81" s="58">
        <f t="shared" si="130"/>
        <v>0</v>
      </c>
      <c r="M81" s="77">
        <v>109</v>
      </c>
      <c r="N81" s="58">
        <f t="shared" si="163"/>
        <v>15.260000000000002</v>
      </c>
      <c r="O81" s="77">
        <v>34</v>
      </c>
      <c r="P81" s="58">
        <f t="shared" si="164"/>
        <v>4.7600000000000007</v>
      </c>
      <c r="Q81" s="77">
        <v>56</v>
      </c>
      <c r="R81" s="58">
        <f t="shared" si="165"/>
        <v>7.8400000000000007</v>
      </c>
      <c r="S81" s="77">
        <v>39</v>
      </c>
      <c r="T81" s="58">
        <f t="shared" si="166"/>
        <v>5.4600000000000009</v>
      </c>
      <c r="U81" s="57">
        <v>62</v>
      </c>
      <c r="V81" s="58">
        <f t="shared" si="135"/>
        <v>8.6800000000000015</v>
      </c>
      <c r="W81" s="77">
        <v>81</v>
      </c>
      <c r="X81" s="58">
        <f t="shared" si="136"/>
        <v>11.340000000000002</v>
      </c>
      <c r="Y81" s="57">
        <v>61</v>
      </c>
      <c r="Z81" s="58">
        <f t="shared" si="137"/>
        <v>8.5400000000000009</v>
      </c>
      <c r="AA81" s="57">
        <v>78</v>
      </c>
      <c r="AB81" s="58">
        <f t="shared" si="138"/>
        <v>10.920000000000002</v>
      </c>
      <c r="AC81" s="57">
        <v>71</v>
      </c>
      <c r="AD81" s="58">
        <f t="shared" si="139"/>
        <v>9.9400000000000013</v>
      </c>
      <c r="AE81" s="57">
        <v>108</v>
      </c>
      <c r="AF81" s="58">
        <f t="shared" si="140"/>
        <v>15.120000000000001</v>
      </c>
      <c r="AG81" s="57">
        <v>65</v>
      </c>
      <c r="AH81" s="58">
        <f t="shared" si="141"/>
        <v>9.1000000000000014</v>
      </c>
      <c r="AI81" s="61">
        <v>93</v>
      </c>
      <c r="AJ81" s="58">
        <f t="shared" si="142"/>
        <v>13.020000000000001</v>
      </c>
      <c r="AK81" s="61">
        <v>67</v>
      </c>
      <c r="AL81" s="58">
        <f t="shared" si="167"/>
        <v>9.3800000000000008</v>
      </c>
      <c r="AM81" s="61">
        <v>103</v>
      </c>
      <c r="AN81" s="58">
        <f t="shared" si="168"/>
        <v>14.420000000000002</v>
      </c>
      <c r="AO81" s="61">
        <v>83</v>
      </c>
      <c r="AP81" s="58">
        <f t="shared" si="145"/>
        <v>11.620000000000001</v>
      </c>
      <c r="AQ81" s="61">
        <v>65</v>
      </c>
      <c r="AR81" s="58">
        <f t="shared" si="169"/>
        <v>9.1000000000000014</v>
      </c>
      <c r="AS81" s="57">
        <v>55</v>
      </c>
      <c r="AT81" s="58">
        <f t="shared" si="170"/>
        <v>7.7000000000000011</v>
      </c>
      <c r="AU81" s="57">
        <v>52</v>
      </c>
      <c r="AV81" s="58">
        <f t="shared" si="171"/>
        <v>7.2800000000000011</v>
      </c>
      <c r="AW81" s="57">
        <v>60</v>
      </c>
      <c r="AX81" s="58">
        <f t="shared" si="172"/>
        <v>8.4</v>
      </c>
      <c r="AY81" s="57">
        <v>73</v>
      </c>
      <c r="AZ81" s="58">
        <f t="shared" si="173"/>
        <v>10.220000000000001</v>
      </c>
      <c r="BA81" s="57">
        <v>57</v>
      </c>
      <c r="BB81" s="58">
        <f t="shared" si="174"/>
        <v>7.98</v>
      </c>
      <c r="BC81" s="57">
        <v>104</v>
      </c>
      <c r="BD81" s="58">
        <f t="shared" si="175"/>
        <v>14.560000000000002</v>
      </c>
      <c r="BE81" s="57">
        <v>124</v>
      </c>
      <c r="BF81" s="58">
        <f t="shared" si="176"/>
        <v>17.360000000000003</v>
      </c>
      <c r="BG81" s="57">
        <v>103</v>
      </c>
      <c r="BH81" s="58">
        <f t="shared" si="177"/>
        <v>14.420000000000002</v>
      </c>
      <c r="BI81" s="57">
        <v>62</v>
      </c>
      <c r="BJ81" s="58">
        <f t="shared" si="178"/>
        <v>8.6800000000000015</v>
      </c>
      <c r="BK81" s="62">
        <f t="shared" si="155"/>
        <v>44</v>
      </c>
      <c r="BL81" s="63">
        <f t="shared" si="155"/>
        <v>6.16</v>
      </c>
      <c r="BO81" s="101"/>
      <c r="BP81" s="101"/>
      <c r="BQ81" s="101"/>
      <c r="BR81" s="102" t="s">
        <v>179</v>
      </c>
      <c r="BS81" s="102" t="s">
        <v>310</v>
      </c>
      <c r="BT81" s="102" t="s">
        <v>309</v>
      </c>
      <c r="BU81" s="37" t="s">
        <v>175</v>
      </c>
      <c r="BV81" s="66">
        <f t="shared" si="156"/>
        <v>15949.050706666665</v>
      </c>
      <c r="BW81" s="66">
        <f t="shared" si="157"/>
        <v>5220.6460526680739</v>
      </c>
      <c r="BX81" s="66">
        <f t="shared" si="160"/>
        <v>32.733271394553007</v>
      </c>
      <c r="BY81" s="67"/>
      <c r="BZ81" s="68">
        <v>80</v>
      </c>
      <c r="CA81" s="74" t="s">
        <v>78</v>
      </c>
      <c r="CB81" s="69">
        <f t="shared" si="161"/>
        <v>0</v>
      </c>
      <c r="CC81" s="69">
        <f t="shared" si="162"/>
        <v>0</v>
      </c>
      <c r="CD81" s="70"/>
      <c r="CE81" s="71"/>
      <c r="CF81" s="71"/>
      <c r="CG81" s="71">
        <v>80</v>
      </c>
      <c r="CH81" s="71" t="str">
        <f t="shared" si="158"/>
        <v/>
      </c>
      <c r="CI81" s="71" t="str">
        <f t="shared" si="158"/>
        <v/>
      </c>
      <c r="CJ81" s="71" t="str">
        <f t="shared" si="158"/>
        <v/>
      </c>
      <c r="CK81" s="71" t="str">
        <f t="shared" si="158"/>
        <v/>
      </c>
      <c r="CL81" s="71" t="str">
        <f t="shared" si="158"/>
        <v/>
      </c>
      <c r="CM81" s="71" t="str">
        <f t="shared" si="158"/>
        <v/>
      </c>
      <c r="CN81" s="71" t="str">
        <f t="shared" si="158"/>
        <v/>
      </c>
      <c r="CO81" s="71" t="str">
        <f t="shared" si="158"/>
        <v/>
      </c>
      <c r="CP81" s="71" t="str">
        <f t="shared" si="158"/>
        <v/>
      </c>
      <c r="CQ81" s="71" t="str">
        <f t="shared" si="158"/>
        <v/>
      </c>
      <c r="CR81" s="71"/>
      <c r="CS81" s="71">
        <v>80</v>
      </c>
      <c r="CT81" s="71" t="str">
        <f t="shared" si="159"/>
        <v/>
      </c>
      <c r="CU81" s="71" t="str">
        <f t="shared" si="159"/>
        <v/>
      </c>
      <c r="CV81" s="71" t="str">
        <f t="shared" si="159"/>
        <v/>
      </c>
      <c r="CW81" s="71" t="str">
        <f t="shared" si="159"/>
        <v/>
      </c>
      <c r="CX81" s="71" t="str">
        <f t="shared" si="159"/>
        <v/>
      </c>
      <c r="CY81" s="71" t="str">
        <f t="shared" si="159"/>
        <v/>
      </c>
      <c r="CZ81" s="71" t="str">
        <f t="shared" si="159"/>
        <v/>
      </c>
      <c r="DA81" s="71" t="str">
        <f t="shared" si="159"/>
        <v/>
      </c>
      <c r="DB81" s="71" t="str">
        <f t="shared" si="159"/>
        <v/>
      </c>
      <c r="DC81" s="72" t="str">
        <f t="shared" si="159"/>
        <v/>
      </c>
    </row>
    <row r="82" spans="1:107" x14ac:dyDescent="0.35">
      <c r="A82" s="52">
        <v>20</v>
      </c>
      <c r="B82" s="52">
        <v>81</v>
      </c>
      <c r="C82" s="52">
        <v>1</v>
      </c>
      <c r="D82" s="52" t="s">
        <v>307</v>
      </c>
      <c r="E82" s="51" t="s">
        <v>311</v>
      </c>
      <c r="F82" s="55">
        <v>0.14000000000000001</v>
      </c>
      <c r="G82" s="53">
        <v>344</v>
      </c>
      <c r="H82" s="76">
        <f t="shared" si="128"/>
        <v>48.160000000000004</v>
      </c>
      <c r="I82" s="77">
        <v>125</v>
      </c>
      <c r="J82" s="58">
        <f t="shared" si="129"/>
        <v>17.5</v>
      </c>
      <c r="K82" s="57"/>
      <c r="L82" s="58">
        <f t="shared" si="130"/>
        <v>0</v>
      </c>
      <c r="M82" s="77">
        <v>344</v>
      </c>
      <c r="N82" s="58">
        <f t="shared" si="163"/>
        <v>48.160000000000004</v>
      </c>
      <c r="O82" s="77">
        <v>344</v>
      </c>
      <c r="P82" s="58">
        <f t="shared" si="164"/>
        <v>48.160000000000004</v>
      </c>
      <c r="Q82" s="77">
        <v>295</v>
      </c>
      <c r="R82" s="58">
        <f t="shared" si="165"/>
        <v>41.300000000000004</v>
      </c>
      <c r="S82" s="77">
        <v>332</v>
      </c>
      <c r="T82" s="58">
        <f t="shared" si="166"/>
        <v>46.480000000000004</v>
      </c>
      <c r="U82" s="57">
        <v>429</v>
      </c>
      <c r="V82" s="58">
        <f t="shared" si="135"/>
        <v>60.06</v>
      </c>
      <c r="W82" s="77">
        <v>395</v>
      </c>
      <c r="X82" s="58">
        <f t="shared" si="136"/>
        <v>55.300000000000004</v>
      </c>
      <c r="Y82" s="57">
        <v>200</v>
      </c>
      <c r="Z82" s="58">
        <f t="shared" si="137"/>
        <v>28.000000000000004</v>
      </c>
      <c r="AA82" s="57">
        <v>265</v>
      </c>
      <c r="AB82" s="58">
        <f t="shared" si="138"/>
        <v>37.1</v>
      </c>
      <c r="AC82" s="57">
        <v>242</v>
      </c>
      <c r="AD82" s="58">
        <f t="shared" si="139"/>
        <v>33.880000000000003</v>
      </c>
      <c r="AE82" s="57">
        <v>217</v>
      </c>
      <c r="AF82" s="58">
        <f t="shared" si="140"/>
        <v>30.380000000000003</v>
      </c>
      <c r="AG82" s="57">
        <v>166</v>
      </c>
      <c r="AH82" s="58">
        <f t="shared" si="141"/>
        <v>23.240000000000002</v>
      </c>
      <c r="AI82" s="61">
        <v>169</v>
      </c>
      <c r="AJ82" s="58">
        <f t="shared" si="142"/>
        <v>23.660000000000004</v>
      </c>
      <c r="AK82" s="61">
        <v>174</v>
      </c>
      <c r="AL82" s="58">
        <f t="shared" si="167"/>
        <v>24.360000000000003</v>
      </c>
      <c r="AM82" s="61">
        <v>258</v>
      </c>
      <c r="AN82" s="58">
        <f t="shared" si="168"/>
        <v>36.120000000000005</v>
      </c>
      <c r="AO82" s="61">
        <v>364</v>
      </c>
      <c r="AP82" s="58">
        <f t="shared" si="145"/>
        <v>50.960000000000008</v>
      </c>
      <c r="AQ82" s="61">
        <v>340</v>
      </c>
      <c r="AR82" s="58">
        <f t="shared" si="169"/>
        <v>47.6</v>
      </c>
      <c r="AS82" s="57">
        <v>289</v>
      </c>
      <c r="AT82" s="58">
        <f t="shared" si="170"/>
        <v>40.46</v>
      </c>
      <c r="AU82" s="57">
        <v>146</v>
      </c>
      <c r="AV82" s="58">
        <f t="shared" si="171"/>
        <v>20.440000000000001</v>
      </c>
      <c r="AW82" s="57">
        <v>112</v>
      </c>
      <c r="AX82" s="58">
        <f t="shared" si="172"/>
        <v>15.680000000000001</v>
      </c>
      <c r="AY82" s="57">
        <v>141</v>
      </c>
      <c r="AZ82" s="58">
        <f t="shared" si="173"/>
        <v>19.740000000000002</v>
      </c>
      <c r="BA82" s="57">
        <v>92</v>
      </c>
      <c r="BB82" s="58">
        <f t="shared" si="174"/>
        <v>12.88</v>
      </c>
      <c r="BC82" s="57">
        <v>82</v>
      </c>
      <c r="BD82" s="58">
        <f t="shared" si="175"/>
        <v>11.48</v>
      </c>
      <c r="BE82" s="57">
        <v>133</v>
      </c>
      <c r="BF82" s="58">
        <f t="shared" si="176"/>
        <v>18.62</v>
      </c>
      <c r="BG82" s="57">
        <v>202</v>
      </c>
      <c r="BH82" s="58">
        <f t="shared" si="177"/>
        <v>28.28</v>
      </c>
      <c r="BI82" s="57">
        <v>107</v>
      </c>
      <c r="BJ82" s="58">
        <f t="shared" si="178"/>
        <v>14.980000000000002</v>
      </c>
      <c r="BK82" s="62">
        <f t="shared" si="155"/>
        <v>125</v>
      </c>
      <c r="BL82" s="63">
        <f t="shared" si="155"/>
        <v>17.5</v>
      </c>
      <c r="BO82" s="101"/>
      <c r="BP82" s="101"/>
      <c r="BQ82" s="101"/>
      <c r="BR82" s="102" t="s">
        <v>179</v>
      </c>
      <c r="BS82" s="102" t="s">
        <v>311</v>
      </c>
      <c r="BT82" s="102" t="s">
        <v>312</v>
      </c>
      <c r="BU82" s="37" t="s">
        <v>175</v>
      </c>
      <c r="BV82" s="66">
        <f t="shared" si="156"/>
        <v>24392.665786666668</v>
      </c>
      <c r="BW82" s="66">
        <f t="shared" si="157"/>
        <v>8128.2453482706787</v>
      </c>
      <c r="BX82" s="66">
        <f t="shared" si="160"/>
        <v>33.322497095473992</v>
      </c>
      <c r="BY82" s="67"/>
      <c r="BZ82" s="68">
        <v>81</v>
      </c>
      <c r="CA82" s="74" t="s">
        <v>79</v>
      </c>
      <c r="CB82" s="69">
        <f t="shared" si="161"/>
        <v>0</v>
      </c>
      <c r="CC82" s="69">
        <f t="shared" si="162"/>
        <v>0</v>
      </c>
      <c r="CD82" s="70"/>
      <c r="CE82" s="71"/>
      <c r="CF82" s="71"/>
      <c r="CG82" s="71">
        <v>81</v>
      </c>
      <c r="CH82" s="71" t="str">
        <f t="shared" ref="CH82:CQ97" si="179">IF(LOOKUP($CG82+CH$1/100,$BQ$2:$BQ$76,$BQ$2:$BQ$76)=  $CG82+CH$1/100,             LOOKUP($CG82+CH$1/100,$BQ$2:$BQ$76,$BV$2:$BV$76), "")</f>
        <v/>
      </c>
      <c r="CI82" s="71" t="str">
        <f t="shared" si="179"/>
        <v/>
      </c>
      <c r="CJ82" s="71" t="str">
        <f t="shared" si="179"/>
        <v/>
      </c>
      <c r="CK82" s="71" t="str">
        <f t="shared" si="179"/>
        <v/>
      </c>
      <c r="CL82" s="71" t="str">
        <f t="shared" si="179"/>
        <v/>
      </c>
      <c r="CM82" s="71" t="str">
        <f t="shared" si="179"/>
        <v/>
      </c>
      <c r="CN82" s="71" t="str">
        <f t="shared" si="179"/>
        <v/>
      </c>
      <c r="CO82" s="71" t="str">
        <f t="shared" si="179"/>
        <v/>
      </c>
      <c r="CP82" s="71" t="str">
        <f t="shared" si="179"/>
        <v/>
      </c>
      <c r="CQ82" s="71" t="str">
        <f t="shared" si="179"/>
        <v/>
      </c>
      <c r="CR82" s="71"/>
      <c r="CS82" s="71">
        <v>81</v>
      </c>
      <c r="CT82" s="71" t="str">
        <f t="shared" ref="CT82:DC97" si="180">IF(LOOKUP($CS82+CT$1/100,$BQ$2:$BQ$76,$BQ$2:$BQ$76)=  $CS82+CT$1/100,             LOOKUP($CS82+CT$1/100,$BQ$2:$BQ$76,$BW$2:$BW$76)^2, "")</f>
        <v/>
      </c>
      <c r="CU82" s="71" t="str">
        <f t="shared" si="180"/>
        <v/>
      </c>
      <c r="CV82" s="71" t="str">
        <f t="shared" si="180"/>
        <v/>
      </c>
      <c r="CW82" s="71" t="str">
        <f t="shared" si="180"/>
        <v/>
      </c>
      <c r="CX82" s="71" t="str">
        <f t="shared" si="180"/>
        <v/>
      </c>
      <c r="CY82" s="71" t="str">
        <f t="shared" si="180"/>
        <v/>
      </c>
      <c r="CZ82" s="71" t="str">
        <f t="shared" si="180"/>
        <v/>
      </c>
      <c r="DA82" s="71" t="str">
        <f t="shared" si="180"/>
        <v/>
      </c>
      <c r="DB82" s="71" t="str">
        <f t="shared" si="180"/>
        <v/>
      </c>
      <c r="DC82" s="72" t="str">
        <f t="shared" si="180"/>
        <v/>
      </c>
    </row>
    <row r="83" spans="1:107" x14ac:dyDescent="0.35">
      <c r="A83" s="52">
        <v>21</v>
      </c>
      <c r="B83" s="52">
        <v>82</v>
      </c>
      <c r="C83" s="52">
        <v>2</v>
      </c>
      <c r="D83" s="52">
        <v>2</v>
      </c>
      <c r="E83" s="51" t="s">
        <v>313</v>
      </c>
      <c r="F83" s="55">
        <v>0.19</v>
      </c>
      <c r="G83" s="53">
        <v>148</v>
      </c>
      <c r="H83" s="76">
        <f t="shared" si="128"/>
        <v>28.12</v>
      </c>
      <c r="I83" s="77">
        <v>54</v>
      </c>
      <c r="J83" s="58">
        <f t="shared" si="129"/>
        <v>10.26</v>
      </c>
      <c r="K83" s="57"/>
      <c r="L83" s="58">
        <f t="shared" si="130"/>
        <v>0</v>
      </c>
      <c r="M83" s="77">
        <v>178</v>
      </c>
      <c r="N83" s="58">
        <f t="shared" si="163"/>
        <v>33.82</v>
      </c>
      <c r="O83" s="77">
        <v>205</v>
      </c>
      <c r="P83" s="58">
        <f t="shared" si="164"/>
        <v>38.950000000000003</v>
      </c>
      <c r="Q83" s="77">
        <v>203</v>
      </c>
      <c r="R83" s="58">
        <f t="shared" si="165"/>
        <v>38.57</v>
      </c>
      <c r="S83" s="77">
        <v>188</v>
      </c>
      <c r="T83" s="58">
        <f t="shared" si="166"/>
        <v>35.72</v>
      </c>
      <c r="U83" s="57">
        <v>238</v>
      </c>
      <c r="V83" s="58">
        <f t="shared" si="135"/>
        <v>45.22</v>
      </c>
      <c r="W83" s="77">
        <v>180</v>
      </c>
      <c r="X83" s="58">
        <f t="shared" si="136"/>
        <v>34.200000000000003</v>
      </c>
      <c r="Y83" s="57">
        <v>177</v>
      </c>
      <c r="Z83" s="58">
        <f t="shared" si="137"/>
        <v>33.630000000000003</v>
      </c>
      <c r="AA83" s="57">
        <v>86</v>
      </c>
      <c r="AB83" s="58">
        <f t="shared" si="138"/>
        <v>16.34</v>
      </c>
      <c r="AC83" s="57">
        <v>119</v>
      </c>
      <c r="AD83" s="58">
        <f t="shared" si="139"/>
        <v>22.61</v>
      </c>
      <c r="AE83" s="57">
        <v>94</v>
      </c>
      <c r="AF83" s="58">
        <f t="shared" si="140"/>
        <v>17.86</v>
      </c>
      <c r="AG83" s="57">
        <v>85</v>
      </c>
      <c r="AH83" s="58">
        <f t="shared" si="141"/>
        <v>16.149999999999999</v>
      </c>
      <c r="AI83" s="61">
        <v>138</v>
      </c>
      <c r="AJ83" s="58">
        <f t="shared" si="142"/>
        <v>26.22</v>
      </c>
      <c r="AK83" s="61">
        <v>110</v>
      </c>
      <c r="AL83" s="58">
        <f t="shared" si="167"/>
        <v>20.9</v>
      </c>
      <c r="AM83" s="61">
        <v>136</v>
      </c>
      <c r="AN83" s="58">
        <f t="shared" si="168"/>
        <v>25.84</v>
      </c>
      <c r="AO83" s="61">
        <v>121</v>
      </c>
      <c r="AP83" s="58">
        <f t="shared" si="145"/>
        <v>22.990000000000002</v>
      </c>
      <c r="AQ83" s="61">
        <v>117</v>
      </c>
      <c r="AR83" s="58">
        <f t="shared" si="169"/>
        <v>22.23</v>
      </c>
      <c r="AS83" s="57">
        <v>127</v>
      </c>
      <c r="AT83" s="58">
        <f t="shared" si="170"/>
        <v>24.13</v>
      </c>
      <c r="AU83" s="57">
        <v>82</v>
      </c>
      <c r="AV83" s="58">
        <f t="shared" si="171"/>
        <v>15.58</v>
      </c>
      <c r="AW83" s="57">
        <v>101</v>
      </c>
      <c r="AX83" s="58">
        <f t="shared" si="172"/>
        <v>19.190000000000001</v>
      </c>
      <c r="AY83" s="57">
        <v>83</v>
      </c>
      <c r="AZ83" s="58">
        <f t="shared" si="173"/>
        <v>15.77</v>
      </c>
      <c r="BA83" s="57">
        <v>80</v>
      </c>
      <c r="BB83" s="58">
        <f t="shared" si="174"/>
        <v>15.2</v>
      </c>
      <c r="BC83" s="57">
        <v>80</v>
      </c>
      <c r="BD83" s="58">
        <f t="shared" si="175"/>
        <v>15.2</v>
      </c>
      <c r="BE83" s="57">
        <v>92</v>
      </c>
      <c r="BF83" s="58">
        <f t="shared" si="176"/>
        <v>17.48</v>
      </c>
      <c r="BG83" s="57">
        <v>103</v>
      </c>
      <c r="BH83" s="58">
        <f t="shared" si="177"/>
        <v>19.57</v>
      </c>
      <c r="BI83" s="57">
        <v>102</v>
      </c>
      <c r="BJ83" s="58">
        <f t="shared" si="178"/>
        <v>19.38</v>
      </c>
      <c r="BK83" s="62">
        <f t="shared" si="155"/>
        <v>54</v>
      </c>
      <c r="BL83" s="63">
        <f t="shared" si="155"/>
        <v>10.26</v>
      </c>
      <c r="BO83" s="101"/>
      <c r="BP83" s="101"/>
      <c r="BQ83" s="101"/>
      <c r="BR83" s="102" t="s">
        <v>179</v>
      </c>
      <c r="BS83" s="102" t="s">
        <v>313</v>
      </c>
      <c r="BT83" s="102" t="s">
        <v>199</v>
      </c>
      <c r="BU83" s="37" t="s">
        <v>175</v>
      </c>
      <c r="BV83" s="66">
        <f t="shared" si="156"/>
        <v>16390.546920000001</v>
      </c>
      <c r="BW83" s="66">
        <f t="shared" si="157"/>
        <v>1007.0687338997059</v>
      </c>
      <c r="BX83" s="66">
        <f t="shared" si="160"/>
        <v>6.1442045760588071</v>
      </c>
      <c r="BY83" s="67"/>
      <c r="BZ83" s="68">
        <v>82</v>
      </c>
      <c r="CA83" s="74" t="s">
        <v>80</v>
      </c>
      <c r="CB83" s="69">
        <f t="shared" si="161"/>
        <v>4966.8323999999993</v>
      </c>
      <c r="CC83" s="69">
        <f t="shared" si="162"/>
        <v>0</v>
      </c>
      <c r="CD83" s="70"/>
      <c r="CE83" s="71"/>
      <c r="CF83" s="71"/>
      <c r="CG83" s="71">
        <v>82</v>
      </c>
      <c r="CH83" s="71">
        <f t="shared" si="179"/>
        <v>1655.6107999999999</v>
      </c>
      <c r="CI83" s="71">
        <f t="shared" si="179"/>
        <v>1655.6107999999999</v>
      </c>
      <c r="CJ83" s="71">
        <f t="shared" si="179"/>
        <v>1655.6107999999999</v>
      </c>
      <c r="CK83" s="71" t="str">
        <f t="shared" si="179"/>
        <v/>
      </c>
      <c r="CL83" s="71" t="str">
        <f t="shared" si="179"/>
        <v/>
      </c>
      <c r="CM83" s="71" t="str">
        <f t="shared" si="179"/>
        <v/>
      </c>
      <c r="CN83" s="71" t="str">
        <f t="shared" si="179"/>
        <v/>
      </c>
      <c r="CO83" s="71" t="str">
        <f t="shared" si="179"/>
        <v/>
      </c>
      <c r="CP83" s="71" t="str">
        <f t="shared" si="179"/>
        <v/>
      </c>
      <c r="CQ83" s="71" t="str">
        <f t="shared" si="179"/>
        <v/>
      </c>
      <c r="CR83" s="71"/>
      <c r="CS83" s="71">
        <v>82</v>
      </c>
      <c r="CT83" s="71">
        <f t="shared" si="180"/>
        <v>0</v>
      </c>
      <c r="CU83" s="71">
        <f t="shared" si="180"/>
        <v>0</v>
      </c>
      <c r="CV83" s="71">
        <f t="shared" si="180"/>
        <v>0</v>
      </c>
      <c r="CW83" s="71" t="str">
        <f t="shared" si="180"/>
        <v/>
      </c>
      <c r="CX83" s="71" t="str">
        <f t="shared" si="180"/>
        <v/>
      </c>
      <c r="CY83" s="71" t="str">
        <f t="shared" si="180"/>
        <v/>
      </c>
      <c r="CZ83" s="71" t="str">
        <f t="shared" si="180"/>
        <v/>
      </c>
      <c r="DA83" s="71" t="str">
        <f t="shared" si="180"/>
        <v/>
      </c>
      <c r="DB83" s="71" t="str">
        <f t="shared" si="180"/>
        <v/>
      </c>
      <c r="DC83" s="72" t="str">
        <f t="shared" si="180"/>
        <v/>
      </c>
    </row>
    <row r="84" spans="1:107" x14ac:dyDescent="0.35">
      <c r="A84" s="52">
        <v>22</v>
      </c>
      <c r="B84" s="52">
        <v>83</v>
      </c>
      <c r="C84" s="52">
        <v>2</v>
      </c>
      <c r="D84" s="52">
        <v>2</v>
      </c>
      <c r="E84" s="51" t="s">
        <v>314</v>
      </c>
      <c r="F84" s="55">
        <v>0.19</v>
      </c>
      <c r="G84" s="53">
        <v>268</v>
      </c>
      <c r="H84" s="76">
        <f t="shared" si="128"/>
        <v>50.92</v>
      </c>
      <c r="I84" s="77">
        <v>98</v>
      </c>
      <c r="J84" s="58">
        <f t="shared" si="129"/>
        <v>18.62</v>
      </c>
      <c r="K84" s="57"/>
      <c r="L84" s="58">
        <f t="shared" si="130"/>
        <v>0</v>
      </c>
      <c r="M84" s="77">
        <v>241</v>
      </c>
      <c r="N84" s="58">
        <f t="shared" si="163"/>
        <v>45.79</v>
      </c>
      <c r="O84" s="77">
        <v>225</v>
      </c>
      <c r="P84" s="58">
        <f t="shared" si="164"/>
        <v>42.75</v>
      </c>
      <c r="Q84" s="77">
        <v>244</v>
      </c>
      <c r="R84" s="58">
        <f t="shared" si="165"/>
        <v>46.36</v>
      </c>
      <c r="S84" s="77">
        <v>268</v>
      </c>
      <c r="T84" s="58">
        <f t="shared" si="166"/>
        <v>50.92</v>
      </c>
      <c r="U84" s="57">
        <v>282</v>
      </c>
      <c r="V84" s="58">
        <f t="shared" si="135"/>
        <v>53.58</v>
      </c>
      <c r="W84" s="77">
        <v>302</v>
      </c>
      <c r="X84" s="58">
        <f t="shared" si="136"/>
        <v>57.38</v>
      </c>
      <c r="Y84" s="57">
        <v>292</v>
      </c>
      <c r="Z84" s="58">
        <f t="shared" si="137"/>
        <v>55.480000000000004</v>
      </c>
      <c r="AA84" s="57">
        <v>263</v>
      </c>
      <c r="AB84" s="58">
        <f t="shared" si="138"/>
        <v>49.97</v>
      </c>
      <c r="AC84" s="57">
        <v>305</v>
      </c>
      <c r="AD84" s="58">
        <f t="shared" si="139"/>
        <v>57.95</v>
      </c>
      <c r="AE84" s="57">
        <v>339</v>
      </c>
      <c r="AF84" s="58">
        <f t="shared" si="140"/>
        <v>64.41</v>
      </c>
      <c r="AG84" s="57">
        <v>214</v>
      </c>
      <c r="AH84" s="58">
        <f t="shared" si="141"/>
        <v>40.660000000000004</v>
      </c>
      <c r="AI84" s="61">
        <v>290</v>
      </c>
      <c r="AJ84" s="58">
        <f t="shared" si="142"/>
        <v>55.1</v>
      </c>
      <c r="AK84" s="61">
        <v>295</v>
      </c>
      <c r="AL84" s="58">
        <f t="shared" si="167"/>
        <v>56.05</v>
      </c>
      <c r="AM84" s="61">
        <v>364</v>
      </c>
      <c r="AN84" s="58">
        <f t="shared" si="168"/>
        <v>69.16</v>
      </c>
      <c r="AO84" s="61">
        <v>223</v>
      </c>
      <c r="AP84" s="58">
        <f t="shared" si="145"/>
        <v>42.37</v>
      </c>
      <c r="AQ84" s="61">
        <v>118</v>
      </c>
      <c r="AR84" s="58">
        <f t="shared" si="169"/>
        <v>22.42</v>
      </c>
      <c r="AS84" s="57">
        <v>101</v>
      </c>
      <c r="AT84" s="58">
        <f t="shared" si="170"/>
        <v>19.190000000000001</v>
      </c>
      <c r="AU84" s="57">
        <v>77</v>
      </c>
      <c r="AV84" s="58">
        <f t="shared" si="171"/>
        <v>14.63</v>
      </c>
      <c r="AW84" s="57">
        <v>51</v>
      </c>
      <c r="AX84" s="58">
        <f t="shared" si="172"/>
        <v>9.69</v>
      </c>
      <c r="AY84" s="57">
        <v>62</v>
      </c>
      <c r="AZ84" s="58">
        <f t="shared" si="173"/>
        <v>11.78</v>
      </c>
      <c r="BA84" s="57">
        <v>49</v>
      </c>
      <c r="BB84" s="58">
        <f t="shared" si="174"/>
        <v>9.31</v>
      </c>
      <c r="BC84" s="57">
        <v>62</v>
      </c>
      <c r="BD84" s="58">
        <f t="shared" si="175"/>
        <v>11.78</v>
      </c>
      <c r="BE84" s="57">
        <v>84</v>
      </c>
      <c r="BF84" s="58">
        <f t="shared" si="176"/>
        <v>15.96</v>
      </c>
      <c r="BG84" s="57">
        <v>75</v>
      </c>
      <c r="BH84" s="58">
        <f t="shared" si="177"/>
        <v>14.25</v>
      </c>
      <c r="BI84" s="57">
        <v>62</v>
      </c>
      <c r="BJ84" s="58">
        <f t="shared" si="178"/>
        <v>11.78</v>
      </c>
      <c r="BK84" s="62">
        <f t="shared" si="155"/>
        <v>98</v>
      </c>
      <c r="BL84" s="63">
        <f t="shared" si="155"/>
        <v>18.62</v>
      </c>
      <c r="BO84" s="101"/>
      <c r="BP84" s="101"/>
      <c r="BQ84" s="101"/>
      <c r="BR84" s="102" t="s">
        <v>179</v>
      </c>
      <c r="BS84" s="102" t="s">
        <v>314</v>
      </c>
      <c r="BT84" s="102" t="s">
        <v>199</v>
      </c>
      <c r="BU84" s="37" t="s">
        <v>175</v>
      </c>
      <c r="BV84" s="66">
        <f t="shared" si="156"/>
        <v>12196.332893333334</v>
      </c>
      <c r="BW84" s="66">
        <f t="shared" si="157"/>
        <v>1831.1783942178913</v>
      </c>
      <c r="BX84" s="66">
        <f t="shared" si="160"/>
        <v>15.014171966549355</v>
      </c>
      <c r="BY84" s="67"/>
      <c r="BZ84" s="68">
        <v>83</v>
      </c>
      <c r="CA84" s="74" t="s">
        <v>81</v>
      </c>
      <c r="CB84" s="69">
        <f t="shared" si="161"/>
        <v>0</v>
      </c>
      <c r="CC84" s="69">
        <f t="shared" si="162"/>
        <v>0</v>
      </c>
      <c r="CD84" s="70"/>
      <c r="CE84" s="71"/>
      <c r="CF84" s="71"/>
      <c r="CG84" s="71">
        <v>83</v>
      </c>
      <c r="CH84" s="71" t="str">
        <f t="shared" si="179"/>
        <v/>
      </c>
      <c r="CI84" s="71" t="str">
        <f t="shared" si="179"/>
        <v/>
      </c>
      <c r="CJ84" s="71" t="str">
        <f t="shared" si="179"/>
        <v/>
      </c>
      <c r="CK84" s="71" t="str">
        <f t="shared" si="179"/>
        <v/>
      </c>
      <c r="CL84" s="71" t="str">
        <f t="shared" si="179"/>
        <v/>
      </c>
      <c r="CM84" s="71" t="str">
        <f t="shared" si="179"/>
        <v/>
      </c>
      <c r="CN84" s="71" t="str">
        <f t="shared" si="179"/>
        <v/>
      </c>
      <c r="CO84" s="71" t="str">
        <f t="shared" si="179"/>
        <v/>
      </c>
      <c r="CP84" s="71" t="str">
        <f t="shared" si="179"/>
        <v/>
      </c>
      <c r="CQ84" s="71" t="str">
        <f t="shared" si="179"/>
        <v/>
      </c>
      <c r="CR84" s="71"/>
      <c r="CS84" s="71">
        <v>83</v>
      </c>
      <c r="CT84" s="71" t="str">
        <f t="shared" si="180"/>
        <v/>
      </c>
      <c r="CU84" s="71" t="str">
        <f t="shared" si="180"/>
        <v/>
      </c>
      <c r="CV84" s="71" t="str">
        <f t="shared" si="180"/>
        <v/>
      </c>
      <c r="CW84" s="71" t="str">
        <f t="shared" si="180"/>
        <v/>
      </c>
      <c r="CX84" s="71" t="str">
        <f t="shared" si="180"/>
        <v/>
      </c>
      <c r="CY84" s="71" t="str">
        <f t="shared" si="180"/>
        <v/>
      </c>
      <c r="CZ84" s="71" t="str">
        <f t="shared" si="180"/>
        <v/>
      </c>
      <c r="DA84" s="71" t="str">
        <f t="shared" si="180"/>
        <v/>
      </c>
      <c r="DB84" s="71" t="str">
        <f t="shared" si="180"/>
        <v/>
      </c>
      <c r="DC84" s="72" t="str">
        <f t="shared" si="180"/>
        <v/>
      </c>
    </row>
    <row r="85" spans="1:107" x14ac:dyDescent="0.35">
      <c r="A85" s="52">
        <v>23</v>
      </c>
      <c r="B85" s="52">
        <v>84</v>
      </c>
      <c r="C85" s="52">
        <v>2</v>
      </c>
      <c r="D85" s="52">
        <v>2</v>
      </c>
      <c r="E85" s="51" t="s">
        <v>315</v>
      </c>
      <c r="F85" s="55">
        <v>0.19</v>
      </c>
      <c r="G85" s="53">
        <v>6512</v>
      </c>
      <c r="H85" s="76">
        <f t="shared" si="128"/>
        <v>1237.28</v>
      </c>
      <c r="I85" s="77">
        <v>2377</v>
      </c>
      <c r="J85" s="58">
        <f t="shared" si="129"/>
        <v>451.63</v>
      </c>
      <c r="K85" s="57"/>
      <c r="L85" s="58">
        <f t="shared" si="130"/>
        <v>0</v>
      </c>
      <c r="M85" s="77">
        <v>4945</v>
      </c>
      <c r="N85" s="58">
        <f t="shared" si="163"/>
        <v>939.55</v>
      </c>
      <c r="O85" s="77">
        <v>4194</v>
      </c>
      <c r="P85" s="58">
        <f t="shared" si="164"/>
        <v>796.86</v>
      </c>
      <c r="Q85" s="77">
        <v>5258</v>
      </c>
      <c r="R85" s="58">
        <f t="shared" si="165"/>
        <v>999.02</v>
      </c>
      <c r="S85" s="77">
        <v>5831</v>
      </c>
      <c r="T85" s="58">
        <f t="shared" si="166"/>
        <v>1107.8900000000001</v>
      </c>
      <c r="U85" s="57">
        <v>5763</v>
      </c>
      <c r="V85" s="58">
        <f t="shared" si="135"/>
        <v>1094.97</v>
      </c>
      <c r="W85" s="77">
        <v>6275</v>
      </c>
      <c r="X85" s="58">
        <f t="shared" si="136"/>
        <v>1192.25</v>
      </c>
      <c r="Y85" s="57">
        <v>4755</v>
      </c>
      <c r="Z85" s="58">
        <f t="shared" si="137"/>
        <v>903.45</v>
      </c>
      <c r="AA85" s="57">
        <v>5991</v>
      </c>
      <c r="AB85" s="58">
        <f t="shared" si="138"/>
        <v>1138.29</v>
      </c>
      <c r="AC85" s="57">
        <v>5882</v>
      </c>
      <c r="AD85" s="58">
        <f t="shared" si="139"/>
        <v>1117.58</v>
      </c>
      <c r="AE85" s="57">
        <v>6443</v>
      </c>
      <c r="AF85" s="58">
        <f t="shared" si="140"/>
        <v>1224.17</v>
      </c>
      <c r="AG85" s="57">
        <v>6795</v>
      </c>
      <c r="AH85" s="58">
        <f t="shared" si="141"/>
        <v>1291.05</v>
      </c>
      <c r="AI85" s="61">
        <v>7424</v>
      </c>
      <c r="AJ85" s="58">
        <f t="shared" si="142"/>
        <v>1410.56</v>
      </c>
      <c r="AK85" s="61">
        <v>5839</v>
      </c>
      <c r="AL85" s="58">
        <f t="shared" si="167"/>
        <v>1109.4100000000001</v>
      </c>
      <c r="AM85" s="61">
        <v>5326</v>
      </c>
      <c r="AN85" s="58">
        <f t="shared" si="168"/>
        <v>1011.94</v>
      </c>
      <c r="AO85" s="61">
        <v>4217</v>
      </c>
      <c r="AP85" s="58">
        <f t="shared" si="145"/>
        <v>801.23</v>
      </c>
      <c r="AQ85" s="61">
        <v>3841</v>
      </c>
      <c r="AR85" s="58">
        <f t="shared" si="169"/>
        <v>729.79</v>
      </c>
      <c r="AS85" s="57">
        <v>5078</v>
      </c>
      <c r="AT85" s="58">
        <f t="shared" si="170"/>
        <v>964.82</v>
      </c>
      <c r="AU85" s="57">
        <v>3282</v>
      </c>
      <c r="AV85" s="58">
        <f t="shared" si="171"/>
        <v>623.58000000000004</v>
      </c>
      <c r="AW85" s="57">
        <v>3888</v>
      </c>
      <c r="AX85" s="58">
        <f t="shared" si="172"/>
        <v>738.72</v>
      </c>
      <c r="AY85" s="57">
        <v>3194</v>
      </c>
      <c r="AZ85" s="58">
        <f t="shared" si="173"/>
        <v>606.86</v>
      </c>
      <c r="BA85" s="57">
        <v>4360</v>
      </c>
      <c r="BB85" s="58">
        <f t="shared" si="174"/>
        <v>828.4</v>
      </c>
      <c r="BC85" s="57">
        <v>3563</v>
      </c>
      <c r="BD85" s="58">
        <f t="shared" si="175"/>
        <v>676.97</v>
      </c>
      <c r="BE85" s="57">
        <v>3546</v>
      </c>
      <c r="BF85" s="58">
        <f t="shared" si="176"/>
        <v>673.74</v>
      </c>
      <c r="BG85" s="57">
        <v>3846</v>
      </c>
      <c r="BH85" s="58">
        <f t="shared" si="177"/>
        <v>730.74</v>
      </c>
      <c r="BI85" s="57">
        <v>4218</v>
      </c>
      <c r="BJ85" s="58">
        <f t="shared" si="178"/>
        <v>801.42</v>
      </c>
      <c r="BK85" s="62">
        <f t="shared" si="155"/>
        <v>2377</v>
      </c>
      <c r="BL85" s="63">
        <f t="shared" si="155"/>
        <v>451.63</v>
      </c>
      <c r="BO85" s="101"/>
      <c r="BP85" s="101"/>
      <c r="BQ85" s="101"/>
      <c r="BR85" s="102" t="s">
        <v>179</v>
      </c>
      <c r="BS85" s="102" t="s">
        <v>315</v>
      </c>
      <c r="BT85" s="102" t="s">
        <v>199</v>
      </c>
      <c r="BU85" s="37" t="s">
        <v>175</v>
      </c>
      <c r="BV85" s="66">
        <f t="shared" si="156"/>
        <v>640721.37959999999</v>
      </c>
      <c r="BW85" s="66">
        <f t="shared" si="157"/>
        <v>55734.853380750312</v>
      </c>
      <c r="BX85" s="66">
        <f t="shared" si="160"/>
        <v>8.6987659777398676</v>
      </c>
      <c r="BY85" s="67"/>
      <c r="BZ85" s="68">
        <v>84</v>
      </c>
      <c r="CA85" s="74" t="s">
        <v>82</v>
      </c>
      <c r="CB85" s="69">
        <f t="shared" si="161"/>
        <v>0</v>
      </c>
      <c r="CC85" s="69">
        <f t="shared" si="162"/>
        <v>0</v>
      </c>
      <c r="CD85" s="70"/>
      <c r="CE85" s="71"/>
      <c r="CF85" s="71"/>
      <c r="CG85" s="71">
        <v>84</v>
      </c>
      <c r="CH85" s="71" t="str">
        <f t="shared" si="179"/>
        <v/>
      </c>
      <c r="CI85" s="71" t="str">
        <f t="shared" si="179"/>
        <v/>
      </c>
      <c r="CJ85" s="71" t="str">
        <f t="shared" si="179"/>
        <v/>
      </c>
      <c r="CK85" s="71" t="str">
        <f t="shared" si="179"/>
        <v/>
      </c>
      <c r="CL85" s="71" t="str">
        <f t="shared" si="179"/>
        <v/>
      </c>
      <c r="CM85" s="71" t="str">
        <f t="shared" si="179"/>
        <v/>
      </c>
      <c r="CN85" s="71" t="str">
        <f t="shared" si="179"/>
        <v/>
      </c>
      <c r="CO85" s="71" t="str">
        <f t="shared" si="179"/>
        <v/>
      </c>
      <c r="CP85" s="71" t="str">
        <f t="shared" si="179"/>
        <v/>
      </c>
      <c r="CQ85" s="71" t="str">
        <f t="shared" si="179"/>
        <v/>
      </c>
      <c r="CR85" s="71"/>
      <c r="CS85" s="71">
        <v>84</v>
      </c>
      <c r="CT85" s="71" t="str">
        <f t="shared" si="180"/>
        <v/>
      </c>
      <c r="CU85" s="71" t="str">
        <f t="shared" si="180"/>
        <v/>
      </c>
      <c r="CV85" s="71" t="str">
        <f t="shared" si="180"/>
        <v/>
      </c>
      <c r="CW85" s="71" t="str">
        <f t="shared" si="180"/>
        <v/>
      </c>
      <c r="CX85" s="71" t="str">
        <f t="shared" si="180"/>
        <v/>
      </c>
      <c r="CY85" s="71" t="str">
        <f t="shared" si="180"/>
        <v/>
      </c>
      <c r="CZ85" s="71" t="str">
        <f t="shared" si="180"/>
        <v/>
      </c>
      <c r="DA85" s="71" t="str">
        <f t="shared" si="180"/>
        <v/>
      </c>
      <c r="DB85" s="71" t="str">
        <f t="shared" si="180"/>
        <v/>
      </c>
      <c r="DC85" s="72" t="str">
        <f t="shared" si="180"/>
        <v/>
      </c>
    </row>
    <row r="86" spans="1:107" x14ac:dyDescent="0.35">
      <c r="A86" s="52">
        <v>24</v>
      </c>
      <c r="B86" s="52">
        <v>85</v>
      </c>
      <c r="C86" s="52">
        <v>2</v>
      </c>
      <c r="D86" s="52">
        <v>2</v>
      </c>
      <c r="E86" s="51" t="s">
        <v>316</v>
      </c>
      <c r="F86" s="55">
        <v>0.19</v>
      </c>
      <c r="G86" s="53">
        <v>2285</v>
      </c>
      <c r="H86" s="76">
        <f t="shared" si="128"/>
        <v>434.15</v>
      </c>
      <c r="I86" s="77">
        <v>834</v>
      </c>
      <c r="J86" s="58">
        <f t="shared" si="129"/>
        <v>158.46</v>
      </c>
      <c r="K86" s="57"/>
      <c r="L86" s="58">
        <f t="shared" si="130"/>
        <v>0</v>
      </c>
      <c r="M86" s="77">
        <v>2118</v>
      </c>
      <c r="N86" s="58">
        <f t="shared" si="163"/>
        <v>402.42</v>
      </c>
      <c r="O86" s="77">
        <v>2189</v>
      </c>
      <c r="P86" s="58">
        <f t="shared" si="164"/>
        <v>415.91</v>
      </c>
      <c r="Q86" s="77">
        <v>2483</v>
      </c>
      <c r="R86" s="58">
        <f t="shared" si="165"/>
        <v>471.77</v>
      </c>
      <c r="S86" s="77">
        <v>2792</v>
      </c>
      <c r="T86" s="58">
        <f t="shared" si="166"/>
        <v>530.48</v>
      </c>
      <c r="U86" s="57">
        <v>2578</v>
      </c>
      <c r="V86" s="58">
        <f t="shared" si="135"/>
        <v>489.82</v>
      </c>
      <c r="W86" s="77">
        <v>2280</v>
      </c>
      <c r="X86" s="58">
        <f t="shared" si="136"/>
        <v>433.2</v>
      </c>
      <c r="Y86" s="57">
        <v>2206</v>
      </c>
      <c r="Z86" s="58">
        <f t="shared" si="137"/>
        <v>419.14</v>
      </c>
      <c r="AA86" s="57">
        <v>2120</v>
      </c>
      <c r="AB86" s="58">
        <f t="shared" si="138"/>
        <v>402.8</v>
      </c>
      <c r="AC86" s="57">
        <v>1767</v>
      </c>
      <c r="AD86" s="58">
        <f t="shared" si="139"/>
        <v>335.73</v>
      </c>
      <c r="AE86" s="57">
        <v>1450</v>
      </c>
      <c r="AF86" s="58">
        <f t="shared" si="140"/>
        <v>275.5</v>
      </c>
      <c r="AG86" s="57">
        <v>1413</v>
      </c>
      <c r="AH86" s="58">
        <f t="shared" si="141"/>
        <v>268.47000000000003</v>
      </c>
      <c r="AI86" s="61">
        <v>1205</v>
      </c>
      <c r="AJ86" s="58">
        <f t="shared" si="142"/>
        <v>228.95</v>
      </c>
      <c r="AK86" s="61">
        <v>1129</v>
      </c>
      <c r="AL86" s="58">
        <f t="shared" si="167"/>
        <v>214.51</v>
      </c>
      <c r="AM86" s="61">
        <v>1053</v>
      </c>
      <c r="AN86" s="58">
        <f t="shared" si="168"/>
        <v>200.07</v>
      </c>
      <c r="AO86" s="61">
        <v>1123</v>
      </c>
      <c r="AP86" s="58">
        <f t="shared" si="145"/>
        <v>213.37</v>
      </c>
      <c r="AQ86" s="61">
        <v>1261</v>
      </c>
      <c r="AR86" s="58">
        <f t="shared" si="169"/>
        <v>239.59</v>
      </c>
      <c r="AS86" s="57">
        <v>1069</v>
      </c>
      <c r="AT86" s="58">
        <f t="shared" si="170"/>
        <v>203.11</v>
      </c>
      <c r="AU86" s="57">
        <v>1200</v>
      </c>
      <c r="AV86" s="58">
        <f t="shared" si="171"/>
        <v>228</v>
      </c>
      <c r="AW86" s="57">
        <v>1127</v>
      </c>
      <c r="AX86" s="58">
        <f t="shared" si="172"/>
        <v>214.13</v>
      </c>
      <c r="AY86" s="57">
        <v>1198</v>
      </c>
      <c r="AZ86" s="58">
        <f t="shared" si="173"/>
        <v>227.62</v>
      </c>
      <c r="BA86" s="57">
        <v>822</v>
      </c>
      <c r="BB86" s="58">
        <f t="shared" si="174"/>
        <v>156.18</v>
      </c>
      <c r="BC86" s="57">
        <v>402</v>
      </c>
      <c r="BD86" s="58">
        <f t="shared" si="175"/>
        <v>76.38</v>
      </c>
      <c r="BE86" s="57">
        <v>529</v>
      </c>
      <c r="BF86" s="58">
        <f t="shared" si="176"/>
        <v>100.51</v>
      </c>
      <c r="BG86" s="57">
        <v>797</v>
      </c>
      <c r="BH86" s="58">
        <f t="shared" si="177"/>
        <v>151.43</v>
      </c>
      <c r="BI86" s="57">
        <v>535</v>
      </c>
      <c r="BJ86" s="58">
        <f t="shared" si="178"/>
        <v>101.65</v>
      </c>
      <c r="BK86" s="62">
        <f t="shared" si="155"/>
        <v>834</v>
      </c>
      <c r="BL86" s="63">
        <f t="shared" si="155"/>
        <v>158.46</v>
      </c>
      <c r="BO86" s="101"/>
      <c r="BP86" s="101"/>
      <c r="BQ86" s="101"/>
      <c r="BR86" s="102" t="s">
        <v>179</v>
      </c>
      <c r="BS86" s="102" t="s">
        <v>316</v>
      </c>
      <c r="BT86" s="102" t="s">
        <v>317</v>
      </c>
      <c r="BU86" s="37" t="s">
        <v>175</v>
      </c>
      <c r="BV86" s="66">
        <f t="shared" si="156"/>
        <v>102703.05662666667</v>
      </c>
      <c r="BW86" s="66">
        <f t="shared" si="157"/>
        <v>25335.353582814962</v>
      </c>
      <c r="BX86" s="66">
        <f t="shared" si="160"/>
        <v>24.668548741359157</v>
      </c>
      <c r="BY86" s="67"/>
      <c r="BZ86" s="68">
        <v>85</v>
      </c>
      <c r="CA86" s="74" t="s">
        <v>83</v>
      </c>
      <c r="CB86" s="69">
        <f t="shared" si="161"/>
        <v>0</v>
      </c>
      <c r="CC86" s="69">
        <f t="shared" si="162"/>
        <v>0</v>
      </c>
      <c r="CD86" s="70"/>
      <c r="CE86" s="71"/>
      <c r="CF86" s="71"/>
      <c r="CG86" s="71">
        <v>85</v>
      </c>
      <c r="CH86" s="71" t="str">
        <f t="shared" si="179"/>
        <v/>
      </c>
      <c r="CI86" s="71" t="str">
        <f t="shared" si="179"/>
        <v/>
      </c>
      <c r="CJ86" s="71" t="str">
        <f t="shared" si="179"/>
        <v/>
      </c>
      <c r="CK86" s="71" t="str">
        <f t="shared" si="179"/>
        <v/>
      </c>
      <c r="CL86" s="71" t="str">
        <f t="shared" si="179"/>
        <v/>
      </c>
      <c r="CM86" s="71" t="str">
        <f t="shared" si="179"/>
        <v/>
      </c>
      <c r="CN86" s="71" t="str">
        <f t="shared" si="179"/>
        <v/>
      </c>
      <c r="CO86" s="71" t="str">
        <f t="shared" si="179"/>
        <v/>
      </c>
      <c r="CP86" s="71" t="str">
        <f t="shared" si="179"/>
        <v/>
      </c>
      <c r="CQ86" s="71" t="str">
        <f t="shared" si="179"/>
        <v/>
      </c>
      <c r="CR86" s="71"/>
      <c r="CS86" s="71">
        <v>85</v>
      </c>
      <c r="CT86" s="71" t="str">
        <f t="shared" si="180"/>
        <v/>
      </c>
      <c r="CU86" s="71" t="str">
        <f t="shared" si="180"/>
        <v/>
      </c>
      <c r="CV86" s="71" t="str">
        <f t="shared" si="180"/>
        <v/>
      </c>
      <c r="CW86" s="71" t="str">
        <f t="shared" si="180"/>
        <v/>
      </c>
      <c r="CX86" s="71" t="str">
        <f t="shared" si="180"/>
        <v/>
      </c>
      <c r="CY86" s="71" t="str">
        <f t="shared" si="180"/>
        <v/>
      </c>
      <c r="CZ86" s="71" t="str">
        <f t="shared" si="180"/>
        <v/>
      </c>
      <c r="DA86" s="71" t="str">
        <f t="shared" si="180"/>
        <v/>
      </c>
      <c r="DB86" s="71" t="str">
        <f t="shared" si="180"/>
        <v/>
      </c>
      <c r="DC86" s="72" t="str">
        <f t="shared" si="180"/>
        <v/>
      </c>
    </row>
    <row r="87" spans="1:107" ht="15" customHeight="1" x14ac:dyDescent="0.35">
      <c r="A87" s="52">
        <v>25</v>
      </c>
      <c r="B87" s="52">
        <v>86</v>
      </c>
      <c r="C87" s="52">
        <v>2</v>
      </c>
      <c r="D87" s="52">
        <v>2</v>
      </c>
      <c r="E87" s="51" t="s">
        <v>318</v>
      </c>
      <c r="F87" s="55">
        <v>0.19</v>
      </c>
      <c r="G87" s="53">
        <v>569</v>
      </c>
      <c r="H87" s="76">
        <f t="shared" si="128"/>
        <v>108.11</v>
      </c>
      <c r="I87" s="77">
        <v>208</v>
      </c>
      <c r="J87" s="58">
        <f t="shared" si="129"/>
        <v>39.520000000000003</v>
      </c>
      <c r="K87" s="57"/>
      <c r="L87" s="58">
        <f t="shared" si="130"/>
        <v>0</v>
      </c>
      <c r="M87" s="77">
        <v>419</v>
      </c>
      <c r="N87" s="58">
        <f t="shared" si="163"/>
        <v>79.61</v>
      </c>
      <c r="O87" s="77">
        <v>463</v>
      </c>
      <c r="P87" s="58">
        <f t="shared" si="164"/>
        <v>87.97</v>
      </c>
      <c r="Q87" s="77">
        <v>364</v>
      </c>
      <c r="R87" s="58">
        <f t="shared" si="165"/>
        <v>69.16</v>
      </c>
      <c r="S87" s="77">
        <v>399</v>
      </c>
      <c r="T87" s="58">
        <f t="shared" si="166"/>
        <v>75.81</v>
      </c>
      <c r="U87" s="57">
        <v>378</v>
      </c>
      <c r="V87" s="58">
        <f t="shared" si="135"/>
        <v>71.820000000000007</v>
      </c>
      <c r="W87" s="77">
        <v>395</v>
      </c>
      <c r="X87" s="58">
        <f t="shared" si="136"/>
        <v>75.05</v>
      </c>
      <c r="Y87" s="57">
        <v>424</v>
      </c>
      <c r="Z87" s="58">
        <f t="shared" si="137"/>
        <v>80.56</v>
      </c>
      <c r="AA87" s="57">
        <v>392</v>
      </c>
      <c r="AB87" s="58">
        <f t="shared" si="138"/>
        <v>74.48</v>
      </c>
      <c r="AC87" s="57">
        <v>385</v>
      </c>
      <c r="AD87" s="58">
        <f t="shared" si="139"/>
        <v>73.150000000000006</v>
      </c>
      <c r="AE87" s="57">
        <v>418</v>
      </c>
      <c r="AF87" s="58">
        <f t="shared" si="140"/>
        <v>79.42</v>
      </c>
      <c r="AG87" s="57">
        <v>485</v>
      </c>
      <c r="AH87" s="58">
        <f t="shared" si="141"/>
        <v>92.15</v>
      </c>
      <c r="AI87" s="61">
        <v>440</v>
      </c>
      <c r="AJ87" s="58">
        <f t="shared" si="142"/>
        <v>83.6</v>
      </c>
      <c r="AK87" s="61">
        <v>397</v>
      </c>
      <c r="AL87" s="58">
        <f t="shared" si="167"/>
        <v>75.430000000000007</v>
      </c>
      <c r="AM87" s="61">
        <v>446</v>
      </c>
      <c r="AN87" s="58">
        <f t="shared" si="168"/>
        <v>84.74</v>
      </c>
      <c r="AO87" s="61">
        <v>490</v>
      </c>
      <c r="AP87" s="58">
        <f t="shared" si="145"/>
        <v>93.1</v>
      </c>
      <c r="AQ87" s="61">
        <v>497</v>
      </c>
      <c r="AR87" s="58">
        <f t="shared" si="169"/>
        <v>94.43</v>
      </c>
      <c r="AS87" s="57">
        <v>567</v>
      </c>
      <c r="AT87" s="58">
        <f t="shared" si="170"/>
        <v>107.73</v>
      </c>
      <c r="AU87" s="57">
        <v>521</v>
      </c>
      <c r="AV87" s="58">
        <f t="shared" si="171"/>
        <v>98.99</v>
      </c>
      <c r="AW87" s="57">
        <v>581</v>
      </c>
      <c r="AX87" s="58">
        <f t="shared" si="172"/>
        <v>110.39</v>
      </c>
      <c r="AY87" s="57">
        <v>544</v>
      </c>
      <c r="AZ87" s="58">
        <f t="shared" si="173"/>
        <v>103.36</v>
      </c>
      <c r="BA87" s="57">
        <v>501</v>
      </c>
      <c r="BB87" s="58">
        <f t="shared" si="174"/>
        <v>95.19</v>
      </c>
      <c r="BC87" s="57">
        <v>503</v>
      </c>
      <c r="BD87" s="58">
        <f t="shared" si="175"/>
        <v>95.570000000000007</v>
      </c>
      <c r="BE87" s="57">
        <v>467</v>
      </c>
      <c r="BF87" s="58">
        <f t="shared" si="176"/>
        <v>88.73</v>
      </c>
      <c r="BG87" s="57">
        <v>512</v>
      </c>
      <c r="BH87" s="58">
        <f t="shared" si="177"/>
        <v>97.28</v>
      </c>
      <c r="BI87" s="57">
        <v>476</v>
      </c>
      <c r="BJ87" s="58">
        <f t="shared" si="178"/>
        <v>90.44</v>
      </c>
      <c r="BK87" s="62">
        <f t="shared" si="155"/>
        <v>208</v>
      </c>
      <c r="BL87" s="63">
        <f t="shared" si="155"/>
        <v>39.520000000000003</v>
      </c>
      <c r="BO87" s="101"/>
      <c r="BP87" s="101"/>
      <c r="BQ87" s="101"/>
      <c r="BR87" s="102" t="s">
        <v>179</v>
      </c>
      <c r="BS87" s="102" t="s">
        <v>318</v>
      </c>
      <c r="BT87" s="102" t="s">
        <v>199</v>
      </c>
      <c r="BU87" s="37" t="s">
        <v>175</v>
      </c>
      <c r="BV87" s="66">
        <f t="shared" si="156"/>
        <v>80297.123800000001</v>
      </c>
      <c r="BW87" s="66">
        <f t="shared" si="157"/>
        <v>3942.3010002414262</v>
      </c>
      <c r="BX87" s="66">
        <f t="shared" si="160"/>
        <v>4.9096416081610954</v>
      </c>
      <c r="BY87" s="67"/>
      <c r="BZ87" s="104">
        <v>86</v>
      </c>
      <c r="CA87" s="74" t="s">
        <v>84</v>
      </c>
      <c r="CB87" s="69">
        <f t="shared" si="161"/>
        <v>0</v>
      </c>
      <c r="CC87" s="69">
        <f t="shared" si="162"/>
        <v>0</v>
      </c>
      <c r="CD87" s="70"/>
      <c r="CE87" s="103"/>
      <c r="CF87" s="103"/>
      <c r="CG87" s="103">
        <v>86</v>
      </c>
      <c r="CH87" s="71" t="str">
        <f t="shared" si="179"/>
        <v/>
      </c>
      <c r="CI87" s="71" t="str">
        <f t="shared" si="179"/>
        <v/>
      </c>
      <c r="CJ87" s="71" t="str">
        <f t="shared" si="179"/>
        <v/>
      </c>
      <c r="CK87" s="71" t="str">
        <f t="shared" si="179"/>
        <v/>
      </c>
      <c r="CL87" s="71" t="str">
        <f t="shared" si="179"/>
        <v/>
      </c>
      <c r="CM87" s="71" t="str">
        <f t="shared" si="179"/>
        <v/>
      </c>
      <c r="CN87" s="71" t="str">
        <f t="shared" si="179"/>
        <v/>
      </c>
      <c r="CO87" s="71" t="str">
        <f t="shared" si="179"/>
        <v/>
      </c>
      <c r="CP87" s="71" t="str">
        <f t="shared" si="179"/>
        <v/>
      </c>
      <c r="CQ87" s="71" t="str">
        <f t="shared" si="179"/>
        <v/>
      </c>
      <c r="CR87" s="71"/>
      <c r="CS87" s="103">
        <v>86</v>
      </c>
      <c r="CT87" s="71" t="str">
        <f t="shared" si="180"/>
        <v/>
      </c>
      <c r="CU87" s="71" t="str">
        <f t="shared" si="180"/>
        <v/>
      </c>
      <c r="CV87" s="71" t="str">
        <f t="shared" si="180"/>
        <v/>
      </c>
      <c r="CW87" s="71" t="str">
        <f t="shared" si="180"/>
        <v/>
      </c>
      <c r="CX87" s="71" t="str">
        <f t="shared" si="180"/>
        <v/>
      </c>
      <c r="CY87" s="71" t="str">
        <f t="shared" si="180"/>
        <v/>
      </c>
      <c r="CZ87" s="71" t="str">
        <f t="shared" si="180"/>
        <v/>
      </c>
      <c r="DA87" s="71" t="str">
        <f t="shared" si="180"/>
        <v/>
      </c>
      <c r="DB87" s="71" t="str">
        <f t="shared" si="180"/>
        <v/>
      </c>
      <c r="DC87" s="72" t="str">
        <f t="shared" si="180"/>
        <v/>
      </c>
    </row>
    <row r="88" spans="1:107" ht="15" customHeight="1" x14ac:dyDescent="0.35">
      <c r="A88" s="52">
        <v>26</v>
      </c>
      <c r="B88" s="52">
        <v>87</v>
      </c>
      <c r="C88" s="52">
        <v>2</v>
      </c>
      <c r="D88" s="52">
        <v>2</v>
      </c>
      <c r="E88" s="51" t="s">
        <v>319</v>
      </c>
      <c r="F88" s="55">
        <v>0.19</v>
      </c>
      <c r="G88" s="53">
        <v>86</v>
      </c>
      <c r="H88" s="76">
        <f t="shared" si="128"/>
        <v>16.34</v>
      </c>
      <c r="I88" s="77">
        <v>31</v>
      </c>
      <c r="J88" s="58">
        <f t="shared" si="129"/>
        <v>5.89</v>
      </c>
      <c r="K88" s="57"/>
      <c r="L88" s="58">
        <f t="shared" si="130"/>
        <v>0</v>
      </c>
      <c r="M88" s="77">
        <v>155</v>
      </c>
      <c r="N88" s="58">
        <f t="shared" si="163"/>
        <v>29.45</v>
      </c>
      <c r="O88" s="77">
        <v>76</v>
      </c>
      <c r="P88" s="58">
        <f t="shared" si="164"/>
        <v>14.44</v>
      </c>
      <c r="Q88" s="77">
        <v>102</v>
      </c>
      <c r="R88" s="58">
        <f t="shared" si="165"/>
        <v>19.38</v>
      </c>
      <c r="S88" s="77">
        <v>101</v>
      </c>
      <c r="T88" s="58">
        <f t="shared" si="166"/>
        <v>19.190000000000001</v>
      </c>
      <c r="U88" s="57">
        <v>125</v>
      </c>
      <c r="V88" s="58">
        <f t="shared" si="135"/>
        <v>23.75</v>
      </c>
      <c r="W88" s="77">
        <v>107</v>
      </c>
      <c r="X88" s="58">
        <f t="shared" si="136"/>
        <v>20.330000000000002</v>
      </c>
      <c r="Y88" s="57">
        <v>69</v>
      </c>
      <c r="Z88" s="58">
        <f t="shared" si="137"/>
        <v>13.11</v>
      </c>
      <c r="AA88" s="57">
        <v>24</v>
      </c>
      <c r="AB88" s="58">
        <f t="shared" si="138"/>
        <v>4.5600000000000005</v>
      </c>
      <c r="AC88" s="57">
        <v>28</v>
      </c>
      <c r="AD88" s="58">
        <f t="shared" si="139"/>
        <v>5.32</v>
      </c>
      <c r="AE88" s="57">
        <v>37</v>
      </c>
      <c r="AF88" s="58">
        <f t="shared" si="140"/>
        <v>7.03</v>
      </c>
      <c r="AG88" s="57">
        <v>31</v>
      </c>
      <c r="AH88" s="58">
        <f t="shared" si="141"/>
        <v>5.89</v>
      </c>
      <c r="AI88" s="61">
        <v>33</v>
      </c>
      <c r="AJ88" s="58">
        <f t="shared" si="142"/>
        <v>6.2700000000000005</v>
      </c>
      <c r="AK88" s="61">
        <v>26</v>
      </c>
      <c r="AL88" s="58">
        <f t="shared" si="167"/>
        <v>4.9400000000000004</v>
      </c>
      <c r="AM88" s="61">
        <v>33</v>
      </c>
      <c r="AN88" s="58">
        <f t="shared" si="168"/>
        <v>6.2700000000000005</v>
      </c>
      <c r="AO88" s="61">
        <v>33</v>
      </c>
      <c r="AP88" s="58">
        <f t="shared" si="145"/>
        <v>6.2700000000000005</v>
      </c>
      <c r="AQ88" s="61">
        <v>28</v>
      </c>
      <c r="AR88" s="58">
        <f t="shared" si="169"/>
        <v>5.32</v>
      </c>
      <c r="AS88" s="57">
        <v>39</v>
      </c>
      <c r="AT88" s="58">
        <f t="shared" si="170"/>
        <v>7.41</v>
      </c>
      <c r="AU88" s="57">
        <v>25</v>
      </c>
      <c r="AV88" s="58">
        <f t="shared" si="171"/>
        <v>4.75</v>
      </c>
      <c r="AW88" s="57">
        <v>23</v>
      </c>
      <c r="AX88" s="58">
        <f t="shared" si="172"/>
        <v>4.37</v>
      </c>
      <c r="AY88" s="57">
        <v>21</v>
      </c>
      <c r="AZ88" s="58">
        <f t="shared" si="173"/>
        <v>3.99</v>
      </c>
      <c r="BA88" s="57">
        <v>23</v>
      </c>
      <c r="BB88" s="58">
        <f t="shared" si="174"/>
        <v>4.37</v>
      </c>
      <c r="BC88" s="57">
        <v>29</v>
      </c>
      <c r="BD88" s="58">
        <f t="shared" si="175"/>
        <v>5.51</v>
      </c>
      <c r="BE88" s="57">
        <v>27</v>
      </c>
      <c r="BF88" s="58">
        <f t="shared" si="176"/>
        <v>5.13</v>
      </c>
      <c r="BG88" s="57">
        <v>33</v>
      </c>
      <c r="BH88" s="58">
        <f t="shared" si="177"/>
        <v>6.2700000000000005</v>
      </c>
      <c r="BI88" s="57">
        <v>25</v>
      </c>
      <c r="BJ88" s="58">
        <f t="shared" si="178"/>
        <v>4.75</v>
      </c>
      <c r="BK88" s="62">
        <f t="shared" si="155"/>
        <v>31</v>
      </c>
      <c r="BL88" s="63">
        <f t="shared" si="155"/>
        <v>5.89</v>
      </c>
      <c r="BO88" s="101"/>
      <c r="BP88" s="101"/>
      <c r="BQ88" s="101"/>
      <c r="BR88" s="102" t="s">
        <v>179</v>
      </c>
      <c r="BS88" s="102" t="s">
        <v>319</v>
      </c>
      <c r="BT88" s="102" t="s">
        <v>199</v>
      </c>
      <c r="BU88" s="37" t="s">
        <v>175</v>
      </c>
      <c r="BV88" s="66">
        <f t="shared" si="156"/>
        <v>4690.8972666666659</v>
      </c>
      <c r="BW88" s="66">
        <f t="shared" si="157"/>
        <v>689.2857421417832</v>
      </c>
      <c r="BX88" s="66">
        <f t="shared" si="160"/>
        <v>14.694112937407965</v>
      </c>
      <c r="BY88" s="67"/>
      <c r="BZ88" s="104">
        <v>87</v>
      </c>
      <c r="CA88" s="74" t="s">
        <v>85</v>
      </c>
      <c r="CB88" s="69">
        <f t="shared" si="161"/>
        <v>0</v>
      </c>
      <c r="CC88" s="69">
        <f t="shared" si="162"/>
        <v>0</v>
      </c>
      <c r="CD88" s="70"/>
      <c r="CE88" s="103"/>
      <c r="CF88" s="103"/>
      <c r="CG88" s="103">
        <v>87</v>
      </c>
      <c r="CH88" s="71" t="str">
        <f t="shared" si="179"/>
        <v/>
      </c>
      <c r="CI88" s="71" t="str">
        <f t="shared" si="179"/>
        <v/>
      </c>
      <c r="CJ88" s="71" t="str">
        <f t="shared" si="179"/>
        <v/>
      </c>
      <c r="CK88" s="71" t="str">
        <f t="shared" si="179"/>
        <v/>
      </c>
      <c r="CL88" s="71" t="str">
        <f t="shared" si="179"/>
        <v/>
      </c>
      <c r="CM88" s="71" t="str">
        <f t="shared" si="179"/>
        <v/>
      </c>
      <c r="CN88" s="71" t="str">
        <f t="shared" si="179"/>
        <v/>
      </c>
      <c r="CO88" s="71" t="str">
        <f t="shared" si="179"/>
        <v/>
      </c>
      <c r="CP88" s="71" t="str">
        <f t="shared" si="179"/>
        <v/>
      </c>
      <c r="CQ88" s="71" t="str">
        <f t="shared" si="179"/>
        <v/>
      </c>
      <c r="CR88" s="71"/>
      <c r="CS88" s="103">
        <v>87</v>
      </c>
      <c r="CT88" s="71" t="str">
        <f t="shared" si="180"/>
        <v/>
      </c>
      <c r="CU88" s="71" t="str">
        <f t="shared" si="180"/>
        <v/>
      </c>
      <c r="CV88" s="71" t="str">
        <f t="shared" si="180"/>
        <v/>
      </c>
      <c r="CW88" s="71" t="str">
        <f t="shared" si="180"/>
        <v/>
      </c>
      <c r="CX88" s="71" t="str">
        <f t="shared" si="180"/>
        <v/>
      </c>
      <c r="CY88" s="71" t="str">
        <f t="shared" si="180"/>
        <v/>
      </c>
      <c r="CZ88" s="71" t="str">
        <f t="shared" si="180"/>
        <v/>
      </c>
      <c r="DA88" s="71" t="str">
        <f t="shared" si="180"/>
        <v/>
      </c>
      <c r="DB88" s="71" t="str">
        <f t="shared" si="180"/>
        <v/>
      </c>
      <c r="DC88" s="72" t="str">
        <f t="shared" si="180"/>
        <v/>
      </c>
    </row>
    <row r="89" spans="1:107" x14ac:dyDescent="0.35">
      <c r="A89" s="52">
        <v>27</v>
      </c>
      <c r="B89" s="52">
        <v>88</v>
      </c>
      <c r="C89" s="52">
        <v>2</v>
      </c>
      <c r="D89" s="52">
        <v>2</v>
      </c>
      <c r="E89" s="51" t="s">
        <v>320</v>
      </c>
      <c r="F89" s="55">
        <v>0.19</v>
      </c>
      <c r="G89" s="53">
        <v>789</v>
      </c>
      <c r="H89" s="76">
        <f t="shared" si="128"/>
        <v>149.91</v>
      </c>
      <c r="I89" s="77">
        <v>288</v>
      </c>
      <c r="J89" s="58">
        <f t="shared" si="129"/>
        <v>54.72</v>
      </c>
      <c r="K89" s="57"/>
      <c r="L89" s="58">
        <f t="shared" si="130"/>
        <v>0</v>
      </c>
      <c r="M89" s="77">
        <v>502</v>
      </c>
      <c r="N89" s="58">
        <f t="shared" si="163"/>
        <v>95.38</v>
      </c>
      <c r="O89" s="77">
        <v>424</v>
      </c>
      <c r="P89" s="58">
        <f t="shared" si="164"/>
        <v>80.56</v>
      </c>
      <c r="Q89" s="77">
        <v>639</v>
      </c>
      <c r="R89" s="58">
        <f t="shared" si="165"/>
        <v>121.41</v>
      </c>
      <c r="S89" s="77">
        <v>661</v>
      </c>
      <c r="T89" s="58">
        <f t="shared" si="166"/>
        <v>125.59</v>
      </c>
      <c r="U89" s="57">
        <v>841</v>
      </c>
      <c r="V89" s="58">
        <f t="shared" si="135"/>
        <v>159.79</v>
      </c>
      <c r="W89" s="77">
        <v>701</v>
      </c>
      <c r="X89" s="58">
        <f t="shared" si="136"/>
        <v>133.19</v>
      </c>
      <c r="Y89" s="57">
        <v>670</v>
      </c>
      <c r="Z89" s="58">
        <f t="shared" si="137"/>
        <v>127.3</v>
      </c>
      <c r="AA89" s="57">
        <v>631</v>
      </c>
      <c r="AB89" s="58">
        <f t="shared" si="138"/>
        <v>119.89</v>
      </c>
      <c r="AC89" s="57">
        <v>764</v>
      </c>
      <c r="AD89" s="58">
        <f t="shared" si="139"/>
        <v>145.16</v>
      </c>
      <c r="AE89" s="57">
        <v>780</v>
      </c>
      <c r="AF89" s="58">
        <f t="shared" si="140"/>
        <v>148.19999999999999</v>
      </c>
      <c r="AG89" s="57">
        <v>917</v>
      </c>
      <c r="AH89" s="58">
        <f t="shared" si="141"/>
        <v>174.23</v>
      </c>
      <c r="AI89" s="61">
        <v>791</v>
      </c>
      <c r="AJ89" s="58">
        <f t="shared" si="142"/>
        <v>150.29</v>
      </c>
      <c r="AK89" s="61">
        <v>610</v>
      </c>
      <c r="AL89" s="58">
        <f t="shared" si="167"/>
        <v>115.9</v>
      </c>
      <c r="AM89" s="61">
        <v>484</v>
      </c>
      <c r="AN89" s="58">
        <f t="shared" si="168"/>
        <v>91.960000000000008</v>
      </c>
      <c r="AO89" s="61">
        <v>526</v>
      </c>
      <c r="AP89" s="58">
        <f t="shared" si="145"/>
        <v>99.94</v>
      </c>
      <c r="AQ89" s="61">
        <v>498</v>
      </c>
      <c r="AR89" s="58">
        <f t="shared" si="169"/>
        <v>94.62</v>
      </c>
      <c r="AS89" s="57">
        <v>542</v>
      </c>
      <c r="AT89" s="58">
        <f t="shared" si="170"/>
        <v>102.98</v>
      </c>
      <c r="AU89" s="57">
        <v>446</v>
      </c>
      <c r="AV89" s="58">
        <f t="shared" si="171"/>
        <v>84.74</v>
      </c>
      <c r="AW89" s="57">
        <v>412</v>
      </c>
      <c r="AX89" s="58">
        <f t="shared" si="172"/>
        <v>78.28</v>
      </c>
      <c r="AY89" s="57">
        <v>420</v>
      </c>
      <c r="AZ89" s="58">
        <f t="shared" si="173"/>
        <v>79.8</v>
      </c>
      <c r="BA89" s="57">
        <v>457</v>
      </c>
      <c r="BB89" s="58">
        <f t="shared" si="174"/>
        <v>86.83</v>
      </c>
      <c r="BC89" s="57">
        <v>350</v>
      </c>
      <c r="BD89" s="58">
        <f t="shared" si="175"/>
        <v>66.5</v>
      </c>
      <c r="BE89" s="57">
        <v>293</v>
      </c>
      <c r="BF89" s="58">
        <f t="shared" si="176"/>
        <v>55.67</v>
      </c>
      <c r="BG89" s="57">
        <v>376</v>
      </c>
      <c r="BH89" s="58">
        <f t="shared" si="177"/>
        <v>71.44</v>
      </c>
      <c r="BI89" s="57">
        <v>247</v>
      </c>
      <c r="BJ89" s="58">
        <f t="shared" si="178"/>
        <v>46.93</v>
      </c>
      <c r="BK89" s="62">
        <f t="shared" si="155"/>
        <v>288</v>
      </c>
      <c r="BL89" s="63">
        <f t="shared" si="155"/>
        <v>54.72</v>
      </c>
      <c r="BO89" s="101"/>
      <c r="BP89" s="101"/>
      <c r="BQ89" s="101"/>
      <c r="BR89" s="102" t="s">
        <v>179</v>
      </c>
      <c r="BS89" s="102" t="s">
        <v>320</v>
      </c>
      <c r="BT89" s="102" t="s">
        <v>199</v>
      </c>
      <c r="BU89" s="37" t="s">
        <v>175</v>
      </c>
      <c r="BV89" s="66">
        <f t="shared" si="156"/>
        <v>50551.316426666664</v>
      </c>
      <c r="BW89" s="66">
        <f t="shared" si="157"/>
        <v>10824.116166161226</v>
      </c>
      <c r="BX89" s="66">
        <f t="shared" si="160"/>
        <v>21.412135096152163</v>
      </c>
      <c r="BY89" s="67"/>
      <c r="BZ89" s="104">
        <v>88</v>
      </c>
      <c r="CA89" s="74" t="s">
        <v>86</v>
      </c>
      <c r="CB89" s="69">
        <f t="shared" si="161"/>
        <v>0</v>
      </c>
      <c r="CC89" s="69">
        <f t="shared" si="162"/>
        <v>0</v>
      </c>
      <c r="CD89" s="70"/>
      <c r="CE89" s="103"/>
      <c r="CF89" s="103"/>
      <c r="CG89" s="103">
        <v>88</v>
      </c>
      <c r="CH89" s="71" t="str">
        <f t="shared" si="179"/>
        <v/>
      </c>
      <c r="CI89" s="71" t="str">
        <f t="shared" si="179"/>
        <v/>
      </c>
      <c r="CJ89" s="71" t="str">
        <f t="shared" si="179"/>
        <v/>
      </c>
      <c r="CK89" s="71" t="str">
        <f t="shared" si="179"/>
        <v/>
      </c>
      <c r="CL89" s="71" t="str">
        <f t="shared" si="179"/>
        <v/>
      </c>
      <c r="CM89" s="71" t="str">
        <f t="shared" si="179"/>
        <v/>
      </c>
      <c r="CN89" s="71" t="str">
        <f t="shared" si="179"/>
        <v/>
      </c>
      <c r="CO89" s="71" t="str">
        <f t="shared" si="179"/>
        <v/>
      </c>
      <c r="CP89" s="71" t="str">
        <f t="shared" si="179"/>
        <v/>
      </c>
      <c r="CQ89" s="71" t="str">
        <f t="shared" si="179"/>
        <v/>
      </c>
      <c r="CR89" s="71"/>
      <c r="CS89" s="103">
        <v>88</v>
      </c>
      <c r="CT89" s="71" t="str">
        <f t="shared" si="180"/>
        <v/>
      </c>
      <c r="CU89" s="71" t="str">
        <f t="shared" si="180"/>
        <v/>
      </c>
      <c r="CV89" s="71" t="str">
        <f t="shared" si="180"/>
        <v/>
      </c>
      <c r="CW89" s="71" t="str">
        <f t="shared" si="180"/>
        <v/>
      </c>
      <c r="CX89" s="71" t="str">
        <f t="shared" si="180"/>
        <v/>
      </c>
      <c r="CY89" s="71" t="str">
        <f t="shared" si="180"/>
        <v/>
      </c>
      <c r="CZ89" s="71" t="str">
        <f t="shared" si="180"/>
        <v/>
      </c>
      <c r="DA89" s="71" t="str">
        <f t="shared" si="180"/>
        <v/>
      </c>
      <c r="DB89" s="71" t="str">
        <f t="shared" si="180"/>
        <v/>
      </c>
      <c r="DC89" s="72" t="str">
        <f t="shared" si="180"/>
        <v/>
      </c>
    </row>
    <row r="90" spans="1:107" x14ac:dyDescent="0.35">
      <c r="A90" s="52">
        <v>28</v>
      </c>
      <c r="B90" s="52">
        <v>89</v>
      </c>
      <c r="C90" s="52">
        <v>2</v>
      </c>
      <c r="D90" s="52">
        <v>3</v>
      </c>
      <c r="E90" s="51" t="s">
        <v>321</v>
      </c>
      <c r="F90" s="55">
        <v>0.17</v>
      </c>
      <c r="G90" s="53">
        <v>801</v>
      </c>
      <c r="H90" s="76">
        <f t="shared" si="128"/>
        <v>136.17000000000002</v>
      </c>
      <c r="I90" s="77">
        <v>292</v>
      </c>
      <c r="J90" s="58">
        <f t="shared" si="129"/>
        <v>49.64</v>
      </c>
      <c r="K90" s="57"/>
      <c r="L90" s="58">
        <f t="shared" si="130"/>
        <v>0</v>
      </c>
      <c r="M90" s="77">
        <v>950</v>
      </c>
      <c r="N90" s="58">
        <f t="shared" si="163"/>
        <v>161.5</v>
      </c>
      <c r="O90" s="77">
        <v>826</v>
      </c>
      <c r="P90" s="58">
        <f t="shared" si="164"/>
        <v>140.42000000000002</v>
      </c>
      <c r="Q90" s="77">
        <v>739</v>
      </c>
      <c r="R90" s="58">
        <f t="shared" si="165"/>
        <v>125.63000000000001</v>
      </c>
      <c r="S90" s="77">
        <v>799</v>
      </c>
      <c r="T90" s="58">
        <f t="shared" si="166"/>
        <v>135.83000000000001</v>
      </c>
      <c r="U90" s="57">
        <v>857</v>
      </c>
      <c r="V90" s="58">
        <f t="shared" si="135"/>
        <v>145.69</v>
      </c>
      <c r="W90" s="77">
        <v>857</v>
      </c>
      <c r="X90" s="58">
        <f t="shared" si="136"/>
        <v>145.69</v>
      </c>
      <c r="Y90" s="57">
        <v>912</v>
      </c>
      <c r="Z90" s="58">
        <f t="shared" si="137"/>
        <v>155.04000000000002</v>
      </c>
      <c r="AA90" s="57">
        <v>757</v>
      </c>
      <c r="AB90" s="58">
        <f t="shared" si="138"/>
        <v>128.69</v>
      </c>
      <c r="AC90" s="57">
        <v>748</v>
      </c>
      <c r="AD90" s="58">
        <f t="shared" si="139"/>
        <v>127.16000000000001</v>
      </c>
      <c r="AE90" s="57">
        <v>816</v>
      </c>
      <c r="AF90" s="58">
        <f t="shared" si="140"/>
        <v>138.72</v>
      </c>
      <c r="AG90" s="57">
        <v>803</v>
      </c>
      <c r="AH90" s="58">
        <f t="shared" si="141"/>
        <v>136.51000000000002</v>
      </c>
      <c r="AI90" s="61">
        <v>908</v>
      </c>
      <c r="AJ90" s="58">
        <f t="shared" si="142"/>
        <v>154.36000000000001</v>
      </c>
      <c r="AK90" s="61">
        <v>391</v>
      </c>
      <c r="AL90" s="58">
        <f t="shared" si="167"/>
        <v>66.47</v>
      </c>
      <c r="AM90" s="61">
        <v>417</v>
      </c>
      <c r="AN90" s="58">
        <f t="shared" si="168"/>
        <v>70.89</v>
      </c>
      <c r="AO90" s="61">
        <v>418</v>
      </c>
      <c r="AP90" s="58">
        <f t="shared" si="145"/>
        <v>71.06</v>
      </c>
      <c r="AQ90" s="61">
        <v>366</v>
      </c>
      <c r="AR90" s="58">
        <f t="shared" si="169"/>
        <v>62.220000000000006</v>
      </c>
      <c r="AS90" s="57">
        <v>504</v>
      </c>
      <c r="AT90" s="58">
        <f t="shared" si="170"/>
        <v>85.68</v>
      </c>
      <c r="AU90" s="57">
        <v>397</v>
      </c>
      <c r="AV90" s="58">
        <f t="shared" si="171"/>
        <v>67.490000000000009</v>
      </c>
      <c r="AW90" s="57">
        <v>525</v>
      </c>
      <c r="AX90" s="58">
        <f t="shared" si="172"/>
        <v>89.25</v>
      </c>
      <c r="AY90" s="57">
        <v>462</v>
      </c>
      <c r="AZ90" s="58">
        <f t="shared" si="173"/>
        <v>78.540000000000006</v>
      </c>
      <c r="BA90" s="57">
        <v>309</v>
      </c>
      <c r="BB90" s="58">
        <f t="shared" si="174"/>
        <v>52.53</v>
      </c>
      <c r="BC90" s="57">
        <v>346</v>
      </c>
      <c r="BD90" s="58">
        <f t="shared" si="175"/>
        <v>58.820000000000007</v>
      </c>
      <c r="BE90" s="57">
        <v>389</v>
      </c>
      <c r="BF90" s="58">
        <f t="shared" si="176"/>
        <v>66.13000000000001</v>
      </c>
      <c r="BG90" s="57">
        <v>389</v>
      </c>
      <c r="BH90" s="58">
        <f t="shared" si="177"/>
        <v>66.13000000000001</v>
      </c>
      <c r="BI90" s="57">
        <v>399</v>
      </c>
      <c r="BJ90" s="58">
        <f t="shared" si="178"/>
        <v>67.83</v>
      </c>
      <c r="BK90" s="62">
        <f t="shared" si="155"/>
        <v>292</v>
      </c>
      <c r="BL90" s="63">
        <f t="shared" si="155"/>
        <v>49.64</v>
      </c>
      <c r="BO90" s="101"/>
      <c r="BP90" s="101"/>
      <c r="BQ90" s="101"/>
      <c r="BR90" s="102" t="s">
        <v>179</v>
      </c>
      <c r="BS90" s="102" t="s">
        <v>321</v>
      </c>
      <c r="BT90" s="102" t="s">
        <v>199</v>
      </c>
      <c r="BU90" s="37" t="s">
        <v>175</v>
      </c>
      <c r="BV90" s="66">
        <f t="shared" si="156"/>
        <v>64955.130386666664</v>
      </c>
      <c r="BW90" s="66">
        <f t="shared" si="157"/>
        <v>955.86734105325183</v>
      </c>
      <c r="BX90" s="66">
        <f t="shared" si="160"/>
        <v>1.4715809749947983</v>
      </c>
      <c r="BY90" s="67"/>
      <c r="BZ90" s="104">
        <v>89</v>
      </c>
      <c r="CA90" s="74" t="s">
        <v>87</v>
      </c>
      <c r="CB90" s="69">
        <f t="shared" si="161"/>
        <v>0</v>
      </c>
      <c r="CC90" s="69">
        <f t="shared" si="162"/>
        <v>0</v>
      </c>
      <c r="CD90" s="70"/>
      <c r="CE90" s="103"/>
      <c r="CF90" s="103"/>
      <c r="CG90" s="103">
        <v>89</v>
      </c>
      <c r="CH90" s="71" t="str">
        <f t="shared" si="179"/>
        <v/>
      </c>
      <c r="CI90" s="71" t="str">
        <f t="shared" si="179"/>
        <v/>
      </c>
      <c r="CJ90" s="71" t="str">
        <f t="shared" si="179"/>
        <v/>
      </c>
      <c r="CK90" s="71" t="str">
        <f t="shared" si="179"/>
        <v/>
      </c>
      <c r="CL90" s="71" t="str">
        <f t="shared" si="179"/>
        <v/>
      </c>
      <c r="CM90" s="71" t="str">
        <f t="shared" si="179"/>
        <v/>
      </c>
      <c r="CN90" s="71" t="str">
        <f t="shared" si="179"/>
        <v/>
      </c>
      <c r="CO90" s="71" t="str">
        <f t="shared" si="179"/>
        <v/>
      </c>
      <c r="CP90" s="71" t="str">
        <f t="shared" si="179"/>
        <v/>
      </c>
      <c r="CQ90" s="71" t="str">
        <f t="shared" si="179"/>
        <v/>
      </c>
      <c r="CR90" s="71"/>
      <c r="CS90" s="103">
        <v>89</v>
      </c>
      <c r="CT90" s="71" t="str">
        <f t="shared" si="180"/>
        <v/>
      </c>
      <c r="CU90" s="71" t="str">
        <f t="shared" si="180"/>
        <v/>
      </c>
      <c r="CV90" s="71" t="str">
        <f t="shared" si="180"/>
        <v/>
      </c>
      <c r="CW90" s="71" t="str">
        <f t="shared" si="180"/>
        <v/>
      </c>
      <c r="CX90" s="71" t="str">
        <f t="shared" si="180"/>
        <v/>
      </c>
      <c r="CY90" s="71" t="str">
        <f t="shared" si="180"/>
        <v/>
      </c>
      <c r="CZ90" s="71" t="str">
        <f t="shared" si="180"/>
        <v/>
      </c>
      <c r="DA90" s="71" t="str">
        <f t="shared" si="180"/>
        <v/>
      </c>
      <c r="DB90" s="71" t="str">
        <f t="shared" si="180"/>
        <v/>
      </c>
      <c r="DC90" s="72" t="str">
        <f t="shared" si="180"/>
        <v/>
      </c>
    </row>
    <row r="91" spans="1:107" ht="12" customHeight="1" x14ac:dyDescent="0.35">
      <c r="A91" s="52">
        <v>29</v>
      </c>
      <c r="B91" s="52">
        <v>90</v>
      </c>
      <c r="C91" s="52">
        <v>2</v>
      </c>
      <c r="D91" s="52">
        <v>3</v>
      </c>
      <c r="E91" s="51" t="s">
        <v>322</v>
      </c>
      <c r="F91" s="55">
        <v>0.17</v>
      </c>
      <c r="G91" s="53">
        <v>163</v>
      </c>
      <c r="H91" s="76">
        <f t="shared" si="128"/>
        <v>27.71</v>
      </c>
      <c r="I91" s="77">
        <v>59</v>
      </c>
      <c r="J91" s="58">
        <f t="shared" si="129"/>
        <v>10.030000000000001</v>
      </c>
      <c r="K91" s="57"/>
      <c r="L91" s="58">
        <f t="shared" si="130"/>
        <v>0</v>
      </c>
      <c r="M91" s="77">
        <v>139</v>
      </c>
      <c r="N91" s="58">
        <f t="shared" si="163"/>
        <v>23.630000000000003</v>
      </c>
      <c r="O91" s="77">
        <v>83</v>
      </c>
      <c r="P91" s="58">
        <f t="shared" si="164"/>
        <v>14.110000000000001</v>
      </c>
      <c r="Q91" s="77">
        <v>111</v>
      </c>
      <c r="R91" s="58">
        <f t="shared" si="165"/>
        <v>18.87</v>
      </c>
      <c r="S91" s="77">
        <v>62</v>
      </c>
      <c r="T91" s="58">
        <f t="shared" si="166"/>
        <v>10.540000000000001</v>
      </c>
      <c r="U91" s="57">
        <v>59</v>
      </c>
      <c r="V91" s="58">
        <f t="shared" si="135"/>
        <v>10.030000000000001</v>
      </c>
      <c r="W91" s="77">
        <v>44</v>
      </c>
      <c r="X91" s="58">
        <f t="shared" si="136"/>
        <v>7.48</v>
      </c>
      <c r="Y91" s="57">
        <v>34</v>
      </c>
      <c r="Z91" s="58">
        <f t="shared" si="137"/>
        <v>5.78</v>
      </c>
      <c r="AA91" s="57">
        <v>20</v>
      </c>
      <c r="AB91" s="58">
        <f t="shared" si="138"/>
        <v>3.4000000000000004</v>
      </c>
      <c r="AC91" s="57">
        <v>34</v>
      </c>
      <c r="AD91" s="58">
        <f t="shared" si="139"/>
        <v>5.78</v>
      </c>
      <c r="AE91" s="57">
        <v>31</v>
      </c>
      <c r="AF91" s="58">
        <f t="shared" si="140"/>
        <v>5.2700000000000005</v>
      </c>
      <c r="AG91" s="57">
        <v>45</v>
      </c>
      <c r="AH91" s="58">
        <f t="shared" si="141"/>
        <v>7.65</v>
      </c>
      <c r="AI91" s="61">
        <v>32</v>
      </c>
      <c r="AJ91" s="58">
        <f t="shared" si="142"/>
        <v>5.44</v>
      </c>
      <c r="AK91" s="61">
        <v>32</v>
      </c>
      <c r="AL91" s="58">
        <f t="shared" si="167"/>
        <v>5.44</v>
      </c>
      <c r="AM91" s="61">
        <v>27</v>
      </c>
      <c r="AN91" s="58">
        <f t="shared" si="168"/>
        <v>4.5900000000000007</v>
      </c>
      <c r="AO91" s="61">
        <v>26</v>
      </c>
      <c r="AP91" s="58">
        <f t="shared" si="145"/>
        <v>4.42</v>
      </c>
      <c r="AQ91" s="61">
        <v>20</v>
      </c>
      <c r="AR91" s="58">
        <f t="shared" si="169"/>
        <v>3.4000000000000004</v>
      </c>
      <c r="AS91" s="57">
        <v>31</v>
      </c>
      <c r="AT91" s="58">
        <f t="shared" si="170"/>
        <v>5.2700000000000005</v>
      </c>
      <c r="AU91" s="57">
        <v>32</v>
      </c>
      <c r="AV91" s="58">
        <f t="shared" si="171"/>
        <v>5.44</v>
      </c>
      <c r="AW91" s="57">
        <v>29</v>
      </c>
      <c r="AX91" s="58">
        <f t="shared" si="172"/>
        <v>4.9300000000000006</v>
      </c>
      <c r="AY91" s="57">
        <v>30</v>
      </c>
      <c r="AZ91" s="58">
        <f t="shared" si="173"/>
        <v>5.1000000000000005</v>
      </c>
      <c r="BA91" s="57">
        <v>28</v>
      </c>
      <c r="BB91" s="58">
        <f t="shared" si="174"/>
        <v>4.7600000000000007</v>
      </c>
      <c r="BC91" s="57">
        <v>37</v>
      </c>
      <c r="BD91" s="58">
        <f t="shared" si="175"/>
        <v>6.29</v>
      </c>
      <c r="BE91" s="57">
        <v>45</v>
      </c>
      <c r="BF91" s="58">
        <f t="shared" si="176"/>
        <v>7.65</v>
      </c>
      <c r="BG91" s="57">
        <v>61</v>
      </c>
      <c r="BH91" s="58">
        <f t="shared" si="177"/>
        <v>10.370000000000001</v>
      </c>
      <c r="BI91" s="57">
        <v>51</v>
      </c>
      <c r="BJ91" s="58">
        <f t="shared" si="178"/>
        <v>8.67</v>
      </c>
      <c r="BK91" s="62">
        <f t="shared" si="155"/>
        <v>59</v>
      </c>
      <c r="BL91" s="63">
        <f t="shared" si="155"/>
        <v>10.030000000000001</v>
      </c>
      <c r="BO91" s="101"/>
      <c r="BP91" s="101"/>
      <c r="BQ91" s="101"/>
      <c r="BR91" s="102" t="s">
        <v>179</v>
      </c>
      <c r="BS91" s="102" t="s">
        <v>322</v>
      </c>
      <c r="BT91" s="102" t="s">
        <v>199</v>
      </c>
      <c r="BU91" s="37" t="s">
        <v>175</v>
      </c>
      <c r="BV91" s="66">
        <f t="shared" si="156"/>
        <v>8664.3631866666674</v>
      </c>
      <c r="BW91" s="66">
        <f t="shared" si="157"/>
        <v>1338.2142774745491</v>
      </c>
      <c r="BX91" s="66">
        <f t="shared" si="160"/>
        <v>15.445039048384853</v>
      </c>
      <c r="BY91" s="67"/>
      <c r="BZ91" s="104">
        <v>90</v>
      </c>
      <c r="CA91" s="74" t="s">
        <v>88</v>
      </c>
      <c r="CB91" s="69">
        <f t="shared" si="161"/>
        <v>0</v>
      </c>
      <c r="CC91" s="69">
        <f t="shared" si="162"/>
        <v>0</v>
      </c>
      <c r="CD91" s="70"/>
      <c r="CE91" s="103"/>
      <c r="CF91" s="103"/>
      <c r="CG91" s="103">
        <v>90</v>
      </c>
      <c r="CH91" s="71" t="str">
        <f t="shared" si="179"/>
        <v/>
      </c>
      <c r="CI91" s="71" t="str">
        <f t="shared" si="179"/>
        <v/>
      </c>
      <c r="CJ91" s="71" t="str">
        <f t="shared" si="179"/>
        <v/>
      </c>
      <c r="CK91" s="71" t="str">
        <f t="shared" si="179"/>
        <v/>
      </c>
      <c r="CL91" s="71" t="str">
        <f t="shared" si="179"/>
        <v/>
      </c>
      <c r="CM91" s="71" t="str">
        <f t="shared" si="179"/>
        <v/>
      </c>
      <c r="CN91" s="71" t="str">
        <f t="shared" si="179"/>
        <v/>
      </c>
      <c r="CO91" s="71" t="str">
        <f t="shared" si="179"/>
        <v/>
      </c>
      <c r="CP91" s="71" t="str">
        <f t="shared" si="179"/>
        <v/>
      </c>
      <c r="CQ91" s="71" t="str">
        <f t="shared" si="179"/>
        <v/>
      </c>
      <c r="CR91" s="71"/>
      <c r="CS91" s="103">
        <v>90</v>
      </c>
      <c r="CT91" s="71" t="str">
        <f t="shared" si="180"/>
        <v/>
      </c>
      <c r="CU91" s="71" t="str">
        <f t="shared" si="180"/>
        <v/>
      </c>
      <c r="CV91" s="71" t="str">
        <f t="shared" si="180"/>
        <v/>
      </c>
      <c r="CW91" s="71" t="str">
        <f t="shared" si="180"/>
        <v/>
      </c>
      <c r="CX91" s="71" t="str">
        <f t="shared" si="180"/>
        <v/>
      </c>
      <c r="CY91" s="71" t="str">
        <f t="shared" si="180"/>
        <v/>
      </c>
      <c r="CZ91" s="71" t="str">
        <f t="shared" si="180"/>
        <v/>
      </c>
      <c r="DA91" s="71" t="str">
        <f t="shared" si="180"/>
        <v/>
      </c>
      <c r="DB91" s="71" t="str">
        <f t="shared" si="180"/>
        <v/>
      </c>
      <c r="DC91" s="72" t="str">
        <f t="shared" si="180"/>
        <v/>
      </c>
    </row>
    <row r="92" spans="1:107" ht="12.75" customHeight="1" x14ac:dyDescent="0.35">
      <c r="A92" s="52">
        <v>30</v>
      </c>
      <c r="B92" s="52">
        <v>91</v>
      </c>
      <c r="C92" s="52">
        <v>2</v>
      </c>
      <c r="D92" s="52">
        <v>3</v>
      </c>
      <c r="E92" s="51" t="s">
        <v>323</v>
      </c>
      <c r="F92" s="55">
        <v>0.17</v>
      </c>
      <c r="G92" s="53">
        <v>763</v>
      </c>
      <c r="H92" s="76">
        <f t="shared" si="128"/>
        <v>129.71</v>
      </c>
      <c r="I92" s="77">
        <v>278</v>
      </c>
      <c r="J92" s="58">
        <f t="shared" si="129"/>
        <v>47.260000000000005</v>
      </c>
      <c r="K92" s="57"/>
      <c r="L92" s="58">
        <f t="shared" si="130"/>
        <v>0</v>
      </c>
      <c r="M92" s="77">
        <v>820</v>
      </c>
      <c r="N92" s="58">
        <f t="shared" si="163"/>
        <v>139.4</v>
      </c>
      <c r="O92" s="77">
        <v>737</v>
      </c>
      <c r="P92" s="58">
        <f t="shared" si="164"/>
        <v>125.29</v>
      </c>
      <c r="Q92" s="77">
        <v>881</v>
      </c>
      <c r="R92" s="58">
        <f t="shared" si="165"/>
        <v>149.77000000000001</v>
      </c>
      <c r="S92" s="77">
        <v>997</v>
      </c>
      <c r="T92" s="58">
        <f t="shared" si="166"/>
        <v>169.49</v>
      </c>
      <c r="U92" s="57">
        <v>1249</v>
      </c>
      <c r="V92" s="58">
        <f t="shared" si="135"/>
        <v>212.33</v>
      </c>
      <c r="W92" s="77">
        <v>898</v>
      </c>
      <c r="X92" s="58">
        <f t="shared" si="136"/>
        <v>152.66000000000003</v>
      </c>
      <c r="Y92" s="57">
        <v>907</v>
      </c>
      <c r="Z92" s="58">
        <f t="shared" si="137"/>
        <v>154.19</v>
      </c>
      <c r="AA92" s="57">
        <v>914</v>
      </c>
      <c r="AB92" s="58">
        <f t="shared" si="138"/>
        <v>155.38000000000002</v>
      </c>
      <c r="AC92" s="57">
        <v>835</v>
      </c>
      <c r="AD92" s="58">
        <f t="shared" si="139"/>
        <v>141.95000000000002</v>
      </c>
      <c r="AE92" s="57">
        <v>274</v>
      </c>
      <c r="AF92" s="58">
        <f t="shared" si="140"/>
        <v>46.580000000000005</v>
      </c>
      <c r="AG92" s="57">
        <v>542</v>
      </c>
      <c r="AH92" s="58">
        <f t="shared" si="141"/>
        <v>92.14</v>
      </c>
      <c r="AI92" s="61">
        <v>328</v>
      </c>
      <c r="AJ92" s="58">
        <f t="shared" si="142"/>
        <v>55.760000000000005</v>
      </c>
      <c r="AK92" s="61">
        <v>218</v>
      </c>
      <c r="AL92" s="58">
        <f t="shared" si="167"/>
        <v>37.06</v>
      </c>
      <c r="AM92" s="61">
        <v>272</v>
      </c>
      <c r="AN92" s="58">
        <f t="shared" si="168"/>
        <v>46.24</v>
      </c>
      <c r="AO92" s="61">
        <v>282</v>
      </c>
      <c r="AP92" s="58">
        <f t="shared" si="145"/>
        <v>47.940000000000005</v>
      </c>
      <c r="AQ92" s="61">
        <v>248</v>
      </c>
      <c r="AR92" s="58">
        <f t="shared" si="169"/>
        <v>42.160000000000004</v>
      </c>
      <c r="AS92" s="57">
        <v>324</v>
      </c>
      <c r="AT92" s="58">
        <f t="shared" si="170"/>
        <v>55.080000000000005</v>
      </c>
      <c r="AU92" s="57">
        <v>219</v>
      </c>
      <c r="AV92" s="58">
        <f t="shared" si="171"/>
        <v>37.230000000000004</v>
      </c>
      <c r="AW92" s="57">
        <v>252</v>
      </c>
      <c r="AX92" s="58">
        <f t="shared" si="172"/>
        <v>42.84</v>
      </c>
      <c r="AY92" s="57">
        <v>253</v>
      </c>
      <c r="AZ92" s="58">
        <f t="shared" si="173"/>
        <v>43.010000000000005</v>
      </c>
      <c r="BA92" s="57">
        <v>238</v>
      </c>
      <c r="BB92" s="58">
        <f t="shared" si="174"/>
        <v>40.46</v>
      </c>
      <c r="BC92" s="57">
        <v>155</v>
      </c>
      <c r="BD92" s="58">
        <f t="shared" si="175"/>
        <v>26.35</v>
      </c>
      <c r="BE92" s="57">
        <v>203</v>
      </c>
      <c r="BF92" s="58">
        <f t="shared" si="176"/>
        <v>34.510000000000005</v>
      </c>
      <c r="BG92" s="57">
        <v>247</v>
      </c>
      <c r="BH92" s="58">
        <f t="shared" si="177"/>
        <v>41.99</v>
      </c>
      <c r="BI92" s="57">
        <v>253</v>
      </c>
      <c r="BJ92" s="58">
        <f t="shared" si="178"/>
        <v>43.010000000000005</v>
      </c>
      <c r="BK92" s="62">
        <f t="shared" si="155"/>
        <v>278</v>
      </c>
      <c r="BL92" s="63">
        <f t="shared" si="155"/>
        <v>47.260000000000005</v>
      </c>
      <c r="BO92" s="101"/>
      <c r="BP92" s="101"/>
      <c r="BQ92" s="101"/>
      <c r="BR92" s="102" t="s">
        <v>179</v>
      </c>
      <c r="BS92" s="102" t="s">
        <v>323</v>
      </c>
      <c r="BT92" s="102" t="s">
        <v>199</v>
      </c>
      <c r="BU92" s="37" t="s">
        <v>175</v>
      </c>
      <c r="BV92" s="66">
        <f t="shared" si="156"/>
        <v>38796.479746666664</v>
      </c>
      <c r="BW92" s="66">
        <f t="shared" si="157"/>
        <v>4519.9488797726344</v>
      </c>
      <c r="BX92" s="66">
        <f t="shared" si="160"/>
        <v>11.650409803381663</v>
      </c>
      <c r="BY92" s="67"/>
      <c r="BZ92" s="104">
        <v>91</v>
      </c>
      <c r="CA92" s="74" t="s">
        <v>89</v>
      </c>
      <c r="CB92" s="69">
        <f t="shared" si="161"/>
        <v>0</v>
      </c>
      <c r="CC92" s="69">
        <f t="shared" si="162"/>
        <v>0</v>
      </c>
      <c r="CD92" s="70"/>
      <c r="CE92" s="103"/>
      <c r="CF92" s="103"/>
      <c r="CG92" s="103">
        <v>91</v>
      </c>
      <c r="CH92" s="71" t="str">
        <f t="shared" si="179"/>
        <v/>
      </c>
      <c r="CI92" s="71" t="str">
        <f t="shared" si="179"/>
        <v/>
      </c>
      <c r="CJ92" s="71" t="str">
        <f t="shared" si="179"/>
        <v/>
      </c>
      <c r="CK92" s="71" t="str">
        <f t="shared" si="179"/>
        <v/>
      </c>
      <c r="CL92" s="71" t="str">
        <f t="shared" si="179"/>
        <v/>
      </c>
      <c r="CM92" s="71" t="str">
        <f t="shared" si="179"/>
        <v/>
      </c>
      <c r="CN92" s="71" t="str">
        <f t="shared" si="179"/>
        <v/>
      </c>
      <c r="CO92" s="71" t="str">
        <f t="shared" si="179"/>
        <v/>
      </c>
      <c r="CP92" s="71" t="str">
        <f t="shared" si="179"/>
        <v/>
      </c>
      <c r="CQ92" s="71" t="str">
        <f t="shared" si="179"/>
        <v/>
      </c>
      <c r="CR92" s="71"/>
      <c r="CS92" s="103">
        <v>91</v>
      </c>
      <c r="CT92" s="71" t="str">
        <f t="shared" si="180"/>
        <v/>
      </c>
      <c r="CU92" s="71" t="str">
        <f t="shared" si="180"/>
        <v/>
      </c>
      <c r="CV92" s="71" t="str">
        <f t="shared" si="180"/>
        <v/>
      </c>
      <c r="CW92" s="71" t="str">
        <f t="shared" si="180"/>
        <v/>
      </c>
      <c r="CX92" s="71" t="str">
        <f t="shared" si="180"/>
        <v/>
      </c>
      <c r="CY92" s="71" t="str">
        <f t="shared" si="180"/>
        <v/>
      </c>
      <c r="CZ92" s="71" t="str">
        <f t="shared" si="180"/>
        <v/>
      </c>
      <c r="DA92" s="71" t="str">
        <f t="shared" si="180"/>
        <v/>
      </c>
      <c r="DB92" s="71" t="str">
        <f t="shared" si="180"/>
        <v/>
      </c>
      <c r="DC92" s="72" t="str">
        <f t="shared" si="180"/>
        <v/>
      </c>
    </row>
    <row r="93" spans="1:107" x14ac:dyDescent="0.35">
      <c r="A93" s="52">
        <v>31</v>
      </c>
      <c r="B93" s="52">
        <v>92</v>
      </c>
      <c r="C93" s="52">
        <v>2</v>
      </c>
      <c r="D93" s="52">
        <v>3</v>
      </c>
      <c r="E93" s="51" t="s">
        <v>324</v>
      </c>
      <c r="F93" s="55">
        <v>0.17</v>
      </c>
      <c r="G93" s="53">
        <v>855</v>
      </c>
      <c r="H93" s="76">
        <f t="shared" si="128"/>
        <v>145.35000000000002</v>
      </c>
      <c r="I93" s="77">
        <v>312</v>
      </c>
      <c r="J93" s="58">
        <f t="shared" si="129"/>
        <v>53.040000000000006</v>
      </c>
      <c r="K93" s="57"/>
      <c r="L93" s="58">
        <f t="shared" si="130"/>
        <v>0</v>
      </c>
      <c r="M93" s="77">
        <v>725</v>
      </c>
      <c r="N93" s="58">
        <f t="shared" si="163"/>
        <v>123.25000000000001</v>
      </c>
      <c r="O93" s="77">
        <v>725</v>
      </c>
      <c r="P93" s="58">
        <f t="shared" si="164"/>
        <v>123.25000000000001</v>
      </c>
      <c r="Q93" s="77">
        <v>870</v>
      </c>
      <c r="R93" s="58">
        <f t="shared" si="165"/>
        <v>147.9</v>
      </c>
      <c r="S93" s="77">
        <v>1102</v>
      </c>
      <c r="T93" s="58">
        <f t="shared" si="166"/>
        <v>187.34</v>
      </c>
      <c r="U93" s="57">
        <v>836</v>
      </c>
      <c r="V93" s="58">
        <f t="shared" si="135"/>
        <v>142.12</v>
      </c>
      <c r="W93" s="77">
        <v>862</v>
      </c>
      <c r="X93" s="58">
        <f t="shared" si="136"/>
        <v>146.54000000000002</v>
      </c>
      <c r="Y93" s="57">
        <v>956</v>
      </c>
      <c r="Z93" s="58">
        <f t="shared" si="137"/>
        <v>162.52000000000001</v>
      </c>
      <c r="AA93" s="57">
        <v>822</v>
      </c>
      <c r="AB93" s="58">
        <f t="shared" si="138"/>
        <v>139.74</v>
      </c>
      <c r="AC93" s="57">
        <v>761</v>
      </c>
      <c r="AD93" s="58">
        <f t="shared" si="139"/>
        <v>129.37</v>
      </c>
      <c r="AE93" s="57">
        <v>754</v>
      </c>
      <c r="AF93" s="58">
        <f t="shared" si="140"/>
        <v>128.18</v>
      </c>
      <c r="AG93" s="57">
        <v>773</v>
      </c>
      <c r="AH93" s="58">
        <f t="shared" si="141"/>
        <v>131.41</v>
      </c>
      <c r="AI93" s="61">
        <v>780</v>
      </c>
      <c r="AJ93" s="58">
        <f t="shared" si="142"/>
        <v>132.60000000000002</v>
      </c>
      <c r="AK93" s="61">
        <v>715</v>
      </c>
      <c r="AL93" s="58">
        <f t="shared" si="167"/>
        <v>121.55000000000001</v>
      </c>
      <c r="AM93" s="61">
        <v>705</v>
      </c>
      <c r="AN93" s="58">
        <f t="shared" si="168"/>
        <v>119.85000000000001</v>
      </c>
      <c r="AO93" s="61">
        <v>851</v>
      </c>
      <c r="AP93" s="58">
        <f t="shared" si="145"/>
        <v>144.67000000000002</v>
      </c>
      <c r="AQ93" s="61">
        <v>866</v>
      </c>
      <c r="AR93" s="58">
        <f t="shared" si="169"/>
        <v>147.22</v>
      </c>
      <c r="AS93" s="57">
        <v>1069</v>
      </c>
      <c r="AT93" s="58">
        <f t="shared" si="170"/>
        <v>181.73000000000002</v>
      </c>
      <c r="AU93" s="57">
        <v>1064</v>
      </c>
      <c r="AV93" s="58">
        <f t="shared" si="171"/>
        <v>180.88000000000002</v>
      </c>
      <c r="AW93" s="57">
        <v>946</v>
      </c>
      <c r="AX93" s="58">
        <f t="shared" si="172"/>
        <v>160.82000000000002</v>
      </c>
      <c r="AY93" s="57">
        <v>674</v>
      </c>
      <c r="AZ93" s="58">
        <f t="shared" si="173"/>
        <v>114.58000000000001</v>
      </c>
      <c r="BA93" s="57">
        <v>293</v>
      </c>
      <c r="BB93" s="58">
        <f t="shared" si="174"/>
        <v>49.81</v>
      </c>
      <c r="BC93" s="57">
        <v>174</v>
      </c>
      <c r="BD93" s="58">
        <f t="shared" si="175"/>
        <v>29.580000000000002</v>
      </c>
      <c r="BE93" s="57">
        <v>152</v>
      </c>
      <c r="BF93" s="58">
        <f t="shared" si="176"/>
        <v>25.840000000000003</v>
      </c>
      <c r="BG93" s="57">
        <v>271</v>
      </c>
      <c r="BH93" s="58">
        <f t="shared" si="177"/>
        <v>46.07</v>
      </c>
      <c r="BI93" s="57">
        <v>313</v>
      </c>
      <c r="BJ93" s="58">
        <f t="shared" si="178"/>
        <v>53.21</v>
      </c>
      <c r="BK93" s="62">
        <f t="shared" si="155"/>
        <v>312</v>
      </c>
      <c r="BL93" s="63">
        <f t="shared" si="155"/>
        <v>53.040000000000006</v>
      </c>
      <c r="BO93" s="102"/>
      <c r="BP93" s="102"/>
      <c r="BQ93" s="102"/>
      <c r="BR93" s="102" t="s">
        <v>179</v>
      </c>
      <c r="BS93" s="102" t="s">
        <v>324</v>
      </c>
      <c r="BT93" s="102" t="s">
        <v>325</v>
      </c>
      <c r="BU93" s="37" t="s">
        <v>175</v>
      </c>
      <c r="BV93" s="66">
        <f t="shared" si="156"/>
        <v>40617.651626666666</v>
      </c>
      <c r="BW93" s="66">
        <f t="shared" si="157"/>
        <v>13826.415408471628</v>
      </c>
      <c r="BX93" s="66">
        <f t="shared" si="160"/>
        <v>34.040410645981773</v>
      </c>
      <c r="BY93" s="67"/>
      <c r="BZ93" s="104">
        <v>92</v>
      </c>
      <c r="CA93" s="74" t="s">
        <v>90</v>
      </c>
      <c r="CB93" s="69">
        <f t="shared" si="161"/>
        <v>0</v>
      </c>
      <c r="CC93" s="69">
        <f t="shared" si="162"/>
        <v>0</v>
      </c>
      <c r="CD93" s="70"/>
      <c r="CE93" s="103"/>
      <c r="CF93" s="103"/>
      <c r="CG93" s="103">
        <v>92</v>
      </c>
      <c r="CH93" s="71" t="str">
        <f t="shared" si="179"/>
        <v/>
      </c>
      <c r="CI93" s="71" t="str">
        <f t="shared" si="179"/>
        <v/>
      </c>
      <c r="CJ93" s="71" t="str">
        <f t="shared" si="179"/>
        <v/>
      </c>
      <c r="CK93" s="71" t="str">
        <f t="shared" si="179"/>
        <v/>
      </c>
      <c r="CL93" s="71" t="str">
        <f t="shared" si="179"/>
        <v/>
      </c>
      <c r="CM93" s="71" t="str">
        <f t="shared" si="179"/>
        <v/>
      </c>
      <c r="CN93" s="71" t="str">
        <f t="shared" si="179"/>
        <v/>
      </c>
      <c r="CO93" s="71" t="str">
        <f t="shared" si="179"/>
        <v/>
      </c>
      <c r="CP93" s="71" t="str">
        <f t="shared" si="179"/>
        <v/>
      </c>
      <c r="CQ93" s="71" t="str">
        <f t="shared" si="179"/>
        <v/>
      </c>
      <c r="CR93" s="71"/>
      <c r="CS93" s="103">
        <v>92</v>
      </c>
      <c r="CT93" s="71" t="str">
        <f t="shared" si="180"/>
        <v/>
      </c>
      <c r="CU93" s="71" t="str">
        <f t="shared" si="180"/>
        <v/>
      </c>
      <c r="CV93" s="71" t="str">
        <f t="shared" si="180"/>
        <v/>
      </c>
      <c r="CW93" s="71" t="str">
        <f t="shared" si="180"/>
        <v/>
      </c>
      <c r="CX93" s="71" t="str">
        <f t="shared" si="180"/>
        <v/>
      </c>
      <c r="CY93" s="71" t="str">
        <f t="shared" si="180"/>
        <v/>
      </c>
      <c r="CZ93" s="71" t="str">
        <f t="shared" si="180"/>
        <v/>
      </c>
      <c r="DA93" s="71" t="str">
        <f t="shared" si="180"/>
        <v/>
      </c>
      <c r="DB93" s="71" t="str">
        <f t="shared" si="180"/>
        <v/>
      </c>
      <c r="DC93" s="72" t="str">
        <f t="shared" si="180"/>
        <v/>
      </c>
    </row>
    <row r="94" spans="1:107" x14ac:dyDescent="0.35">
      <c r="A94" s="52">
        <v>32</v>
      </c>
      <c r="B94" s="52">
        <v>93</v>
      </c>
      <c r="C94" s="52">
        <v>2</v>
      </c>
      <c r="D94" s="52">
        <v>3</v>
      </c>
      <c r="E94" s="51" t="s">
        <v>326</v>
      </c>
      <c r="F94" s="55">
        <v>0.17</v>
      </c>
      <c r="G94" s="53">
        <v>268</v>
      </c>
      <c r="H94" s="76">
        <f t="shared" si="128"/>
        <v>45.56</v>
      </c>
      <c r="I94" s="77">
        <v>98</v>
      </c>
      <c r="J94" s="58">
        <f t="shared" si="129"/>
        <v>16.66</v>
      </c>
      <c r="K94" s="57"/>
      <c r="L94" s="58">
        <f t="shared" si="130"/>
        <v>0</v>
      </c>
      <c r="M94" s="77">
        <v>390</v>
      </c>
      <c r="N94" s="58">
        <f t="shared" si="163"/>
        <v>66.300000000000011</v>
      </c>
      <c r="O94" s="77">
        <v>415</v>
      </c>
      <c r="P94" s="58">
        <f t="shared" si="164"/>
        <v>70.550000000000011</v>
      </c>
      <c r="Q94" s="77">
        <v>432</v>
      </c>
      <c r="R94" s="58">
        <f t="shared" si="165"/>
        <v>73.440000000000012</v>
      </c>
      <c r="S94" s="77">
        <v>458</v>
      </c>
      <c r="T94" s="58">
        <f t="shared" si="166"/>
        <v>77.86</v>
      </c>
      <c r="U94" s="57">
        <v>448</v>
      </c>
      <c r="V94" s="58">
        <f t="shared" si="135"/>
        <v>76.160000000000011</v>
      </c>
      <c r="W94" s="77">
        <v>502</v>
      </c>
      <c r="X94" s="58">
        <f t="shared" si="136"/>
        <v>85.34</v>
      </c>
      <c r="Y94" s="57">
        <v>309</v>
      </c>
      <c r="Z94" s="58">
        <f t="shared" si="137"/>
        <v>52.53</v>
      </c>
      <c r="AA94" s="57">
        <v>427</v>
      </c>
      <c r="AB94" s="58">
        <f t="shared" si="138"/>
        <v>72.59</v>
      </c>
      <c r="AC94" s="57">
        <v>420</v>
      </c>
      <c r="AD94" s="58">
        <f t="shared" si="139"/>
        <v>71.400000000000006</v>
      </c>
      <c r="AE94" s="57">
        <v>440</v>
      </c>
      <c r="AF94" s="58">
        <f t="shared" si="140"/>
        <v>74.800000000000011</v>
      </c>
      <c r="AG94" s="57">
        <v>466</v>
      </c>
      <c r="AH94" s="58">
        <f t="shared" si="141"/>
        <v>79.22</v>
      </c>
      <c r="AI94" s="61">
        <v>431</v>
      </c>
      <c r="AJ94" s="58">
        <f t="shared" si="142"/>
        <v>73.27000000000001</v>
      </c>
      <c r="AK94" s="61">
        <v>419</v>
      </c>
      <c r="AL94" s="58">
        <f t="shared" si="167"/>
        <v>71.23</v>
      </c>
      <c r="AM94" s="61">
        <v>457</v>
      </c>
      <c r="AN94" s="58">
        <f t="shared" si="168"/>
        <v>77.690000000000012</v>
      </c>
      <c r="AO94" s="61">
        <v>450</v>
      </c>
      <c r="AP94" s="58">
        <f t="shared" si="145"/>
        <v>76.5</v>
      </c>
      <c r="AQ94" s="61">
        <v>494</v>
      </c>
      <c r="AR94" s="58">
        <f t="shared" si="169"/>
        <v>83.98</v>
      </c>
      <c r="AS94" s="57">
        <v>500</v>
      </c>
      <c r="AT94" s="58">
        <f t="shared" si="170"/>
        <v>85</v>
      </c>
      <c r="AU94" s="57">
        <v>483</v>
      </c>
      <c r="AV94" s="58">
        <f t="shared" si="171"/>
        <v>82.11</v>
      </c>
      <c r="AW94" s="57">
        <v>512</v>
      </c>
      <c r="AX94" s="58">
        <f t="shared" si="172"/>
        <v>87.04</v>
      </c>
      <c r="AY94" s="57">
        <v>525</v>
      </c>
      <c r="AZ94" s="58">
        <f t="shared" si="173"/>
        <v>89.25</v>
      </c>
      <c r="BA94" s="57">
        <v>503</v>
      </c>
      <c r="BB94" s="58">
        <f t="shared" si="174"/>
        <v>85.51</v>
      </c>
      <c r="BC94" s="57">
        <v>482</v>
      </c>
      <c r="BD94" s="58">
        <f t="shared" si="175"/>
        <v>81.940000000000012</v>
      </c>
      <c r="BE94" s="57">
        <v>534</v>
      </c>
      <c r="BF94" s="58">
        <f t="shared" si="176"/>
        <v>90.78</v>
      </c>
      <c r="BG94" s="57">
        <v>571</v>
      </c>
      <c r="BH94" s="58">
        <f t="shared" si="177"/>
        <v>97.070000000000007</v>
      </c>
      <c r="BI94" s="57">
        <v>574</v>
      </c>
      <c r="BJ94" s="58">
        <f t="shared" si="178"/>
        <v>97.580000000000013</v>
      </c>
      <c r="BK94" s="62">
        <f t="shared" ref="BK94:BL125" si="181">I94</f>
        <v>98</v>
      </c>
      <c r="BL94" s="63">
        <f t="shared" si="181"/>
        <v>16.66</v>
      </c>
      <c r="BO94" s="102"/>
      <c r="BP94" s="102"/>
      <c r="BQ94" s="102"/>
      <c r="BR94" s="102" t="s">
        <v>179</v>
      </c>
      <c r="BS94" s="102" t="s">
        <v>326</v>
      </c>
      <c r="BT94" s="102" t="s">
        <v>327</v>
      </c>
      <c r="BU94" s="37" t="s">
        <v>175</v>
      </c>
      <c r="BV94" s="66">
        <f t="shared" si="156"/>
        <v>92659.017773333326</v>
      </c>
      <c r="BW94" s="66">
        <f t="shared" si="157"/>
        <v>3688.4591016137151</v>
      </c>
      <c r="BX94" s="66">
        <f t="shared" si="160"/>
        <v>3.9806801218599039</v>
      </c>
      <c r="BY94" s="67"/>
      <c r="BZ94" s="104">
        <v>93</v>
      </c>
      <c r="CA94" s="74" t="s">
        <v>91</v>
      </c>
      <c r="CB94" s="69">
        <f t="shared" si="161"/>
        <v>0</v>
      </c>
      <c r="CC94" s="69">
        <f t="shared" si="162"/>
        <v>0</v>
      </c>
      <c r="CD94" s="70"/>
      <c r="CE94" s="103"/>
      <c r="CF94" s="103"/>
      <c r="CG94" s="103">
        <v>93</v>
      </c>
      <c r="CH94" s="71" t="str">
        <f t="shared" si="179"/>
        <v/>
      </c>
      <c r="CI94" s="71" t="str">
        <f t="shared" si="179"/>
        <v/>
      </c>
      <c r="CJ94" s="71" t="str">
        <f t="shared" si="179"/>
        <v/>
      </c>
      <c r="CK94" s="71" t="str">
        <f t="shared" si="179"/>
        <v/>
      </c>
      <c r="CL94" s="71" t="str">
        <f t="shared" si="179"/>
        <v/>
      </c>
      <c r="CM94" s="71" t="str">
        <f t="shared" si="179"/>
        <v/>
      </c>
      <c r="CN94" s="71" t="str">
        <f t="shared" si="179"/>
        <v/>
      </c>
      <c r="CO94" s="71" t="str">
        <f t="shared" si="179"/>
        <v/>
      </c>
      <c r="CP94" s="71" t="str">
        <f t="shared" si="179"/>
        <v/>
      </c>
      <c r="CQ94" s="71" t="str">
        <f t="shared" si="179"/>
        <v/>
      </c>
      <c r="CR94" s="71"/>
      <c r="CS94" s="103">
        <v>93</v>
      </c>
      <c r="CT94" s="71" t="str">
        <f t="shared" si="180"/>
        <v/>
      </c>
      <c r="CU94" s="71" t="str">
        <f t="shared" si="180"/>
        <v/>
      </c>
      <c r="CV94" s="71" t="str">
        <f t="shared" si="180"/>
        <v/>
      </c>
      <c r="CW94" s="71" t="str">
        <f t="shared" si="180"/>
        <v/>
      </c>
      <c r="CX94" s="71" t="str">
        <f t="shared" si="180"/>
        <v/>
      </c>
      <c r="CY94" s="71" t="str">
        <f t="shared" si="180"/>
        <v/>
      </c>
      <c r="CZ94" s="71" t="str">
        <f t="shared" si="180"/>
        <v/>
      </c>
      <c r="DA94" s="71" t="str">
        <f t="shared" si="180"/>
        <v/>
      </c>
      <c r="DB94" s="71" t="str">
        <f t="shared" si="180"/>
        <v/>
      </c>
      <c r="DC94" s="72" t="str">
        <f t="shared" si="180"/>
        <v/>
      </c>
    </row>
    <row r="95" spans="1:107" ht="15" thickBot="1" x14ac:dyDescent="0.4">
      <c r="A95" s="52">
        <v>33</v>
      </c>
      <c r="B95" s="52">
        <v>94</v>
      </c>
      <c r="C95" s="52">
        <v>2</v>
      </c>
      <c r="D95" s="52">
        <v>3</v>
      </c>
      <c r="E95" s="51" t="s">
        <v>328</v>
      </c>
      <c r="F95" s="55">
        <v>0.17</v>
      </c>
      <c r="G95" s="53">
        <v>289</v>
      </c>
      <c r="H95" s="76">
        <f t="shared" si="128"/>
        <v>49.13</v>
      </c>
      <c r="I95" s="77">
        <v>106</v>
      </c>
      <c r="J95" s="58">
        <f t="shared" si="129"/>
        <v>18.02</v>
      </c>
      <c r="K95" s="57"/>
      <c r="L95" s="58">
        <f t="shared" si="130"/>
        <v>0</v>
      </c>
      <c r="M95" s="77">
        <v>291</v>
      </c>
      <c r="N95" s="58">
        <f t="shared" si="163"/>
        <v>49.470000000000006</v>
      </c>
      <c r="O95" s="77">
        <v>293</v>
      </c>
      <c r="P95" s="58">
        <f t="shared" si="164"/>
        <v>49.81</v>
      </c>
      <c r="Q95" s="77">
        <v>320</v>
      </c>
      <c r="R95" s="58">
        <f t="shared" si="165"/>
        <v>54.400000000000006</v>
      </c>
      <c r="S95" s="77">
        <v>437</v>
      </c>
      <c r="T95" s="58">
        <f t="shared" si="166"/>
        <v>74.290000000000006</v>
      </c>
      <c r="U95" s="57">
        <v>333</v>
      </c>
      <c r="V95" s="58">
        <f t="shared" si="135"/>
        <v>56.610000000000007</v>
      </c>
      <c r="W95" s="77">
        <v>443</v>
      </c>
      <c r="X95" s="58">
        <f t="shared" si="136"/>
        <v>75.31</v>
      </c>
      <c r="Y95" s="57">
        <v>325</v>
      </c>
      <c r="Z95" s="58">
        <f t="shared" si="137"/>
        <v>55.250000000000007</v>
      </c>
      <c r="AA95" s="57">
        <v>296</v>
      </c>
      <c r="AB95" s="58">
        <f t="shared" si="138"/>
        <v>50.32</v>
      </c>
      <c r="AC95" s="57">
        <v>324</v>
      </c>
      <c r="AD95" s="58">
        <f t="shared" si="139"/>
        <v>55.080000000000005</v>
      </c>
      <c r="AE95" s="57">
        <v>315</v>
      </c>
      <c r="AF95" s="58">
        <f t="shared" si="140"/>
        <v>53.550000000000004</v>
      </c>
      <c r="AG95" s="57">
        <v>343</v>
      </c>
      <c r="AH95" s="58">
        <f t="shared" si="141"/>
        <v>58.31</v>
      </c>
      <c r="AI95" s="61">
        <v>295</v>
      </c>
      <c r="AJ95" s="58">
        <f t="shared" si="142"/>
        <v>50.150000000000006</v>
      </c>
      <c r="AK95" s="61">
        <v>322</v>
      </c>
      <c r="AL95" s="58">
        <f t="shared" si="167"/>
        <v>54.74</v>
      </c>
      <c r="AM95" s="61">
        <v>323</v>
      </c>
      <c r="AN95" s="58">
        <f t="shared" si="168"/>
        <v>54.910000000000004</v>
      </c>
      <c r="AO95" s="61">
        <v>326</v>
      </c>
      <c r="AP95" s="58">
        <f t="shared" si="145"/>
        <v>55.42</v>
      </c>
      <c r="AQ95" s="61">
        <v>342</v>
      </c>
      <c r="AR95" s="58">
        <f t="shared" si="169"/>
        <v>58.140000000000008</v>
      </c>
      <c r="AS95" s="57">
        <v>276</v>
      </c>
      <c r="AT95" s="58">
        <f t="shared" si="170"/>
        <v>46.92</v>
      </c>
      <c r="AU95" s="57">
        <v>111</v>
      </c>
      <c r="AV95" s="58">
        <f t="shared" si="171"/>
        <v>18.87</v>
      </c>
      <c r="AW95" s="57">
        <v>109</v>
      </c>
      <c r="AX95" s="58">
        <f t="shared" si="172"/>
        <v>18.53</v>
      </c>
      <c r="AY95" s="57">
        <v>103</v>
      </c>
      <c r="AZ95" s="58">
        <f t="shared" si="173"/>
        <v>17.510000000000002</v>
      </c>
      <c r="BA95" s="57">
        <v>104</v>
      </c>
      <c r="BB95" s="58">
        <f t="shared" si="174"/>
        <v>17.68</v>
      </c>
      <c r="BC95" s="57">
        <v>95</v>
      </c>
      <c r="BD95" s="58">
        <f t="shared" si="175"/>
        <v>16.150000000000002</v>
      </c>
      <c r="BE95" s="57">
        <v>90</v>
      </c>
      <c r="BF95" s="58">
        <f t="shared" si="176"/>
        <v>15.3</v>
      </c>
      <c r="BG95" s="57">
        <v>96</v>
      </c>
      <c r="BH95" s="58">
        <f t="shared" si="177"/>
        <v>16.32</v>
      </c>
      <c r="BI95" s="57">
        <v>93</v>
      </c>
      <c r="BJ95" s="58">
        <f t="shared" si="178"/>
        <v>15.81</v>
      </c>
      <c r="BK95" s="62">
        <f t="shared" si="181"/>
        <v>106</v>
      </c>
      <c r="BL95" s="63">
        <f t="shared" si="181"/>
        <v>18.02</v>
      </c>
      <c r="BO95" s="101"/>
      <c r="BP95" s="101"/>
      <c r="BQ95" s="101"/>
      <c r="BR95" s="102" t="s">
        <v>179</v>
      </c>
      <c r="BS95" s="102" t="s">
        <v>328</v>
      </c>
      <c r="BT95" s="102" t="s">
        <v>199</v>
      </c>
      <c r="BU95" s="37" t="s">
        <v>175</v>
      </c>
      <c r="BV95" s="66">
        <f t="shared" si="156"/>
        <v>15397.18044</v>
      </c>
      <c r="BW95" s="66">
        <f t="shared" si="157"/>
        <v>496.68324000000001</v>
      </c>
      <c r="BX95" s="66">
        <f t="shared" si="160"/>
        <v>3.225806451612903</v>
      </c>
      <c r="BY95" s="67"/>
      <c r="BZ95" s="104">
        <v>94</v>
      </c>
      <c r="CA95" s="82" t="s">
        <v>92</v>
      </c>
      <c r="CB95" s="83">
        <f t="shared" si="161"/>
        <v>0</v>
      </c>
      <c r="CC95" s="83">
        <f t="shared" si="162"/>
        <v>0</v>
      </c>
      <c r="CD95" s="70"/>
      <c r="CE95" s="103"/>
      <c r="CF95" s="103"/>
      <c r="CG95" s="103">
        <v>94</v>
      </c>
      <c r="CH95" s="71" t="str">
        <f t="shared" si="179"/>
        <v/>
      </c>
      <c r="CI95" s="71" t="str">
        <f t="shared" si="179"/>
        <v/>
      </c>
      <c r="CJ95" s="71" t="str">
        <f t="shared" si="179"/>
        <v/>
      </c>
      <c r="CK95" s="71" t="str">
        <f t="shared" si="179"/>
        <v/>
      </c>
      <c r="CL95" s="71" t="str">
        <f t="shared" si="179"/>
        <v/>
      </c>
      <c r="CM95" s="71" t="str">
        <f t="shared" si="179"/>
        <v/>
      </c>
      <c r="CN95" s="71" t="str">
        <f t="shared" si="179"/>
        <v/>
      </c>
      <c r="CO95" s="71" t="str">
        <f t="shared" si="179"/>
        <v/>
      </c>
      <c r="CP95" s="71" t="str">
        <f t="shared" si="179"/>
        <v/>
      </c>
      <c r="CQ95" s="71" t="str">
        <f t="shared" si="179"/>
        <v/>
      </c>
      <c r="CR95" s="71"/>
      <c r="CS95" s="103">
        <v>94</v>
      </c>
      <c r="CT95" s="71" t="str">
        <f t="shared" si="180"/>
        <v/>
      </c>
      <c r="CU95" s="71" t="str">
        <f t="shared" si="180"/>
        <v/>
      </c>
      <c r="CV95" s="71" t="str">
        <f t="shared" si="180"/>
        <v/>
      </c>
      <c r="CW95" s="71" t="str">
        <f t="shared" si="180"/>
        <v/>
      </c>
      <c r="CX95" s="71" t="str">
        <f t="shared" si="180"/>
        <v/>
      </c>
      <c r="CY95" s="71" t="str">
        <f t="shared" si="180"/>
        <v/>
      </c>
      <c r="CZ95" s="71" t="str">
        <f t="shared" si="180"/>
        <v/>
      </c>
      <c r="DA95" s="71" t="str">
        <f t="shared" si="180"/>
        <v/>
      </c>
      <c r="DB95" s="71" t="str">
        <f t="shared" si="180"/>
        <v/>
      </c>
      <c r="DC95" s="72" t="str">
        <f t="shared" si="180"/>
        <v/>
      </c>
    </row>
    <row r="96" spans="1:107" ht="15.5" thickTop="1" thickBot="1" x14ac:dyDescent="0.4">
      <c r="A96" s="52">
        <v>34</v>
      </c>
      <c r="B96" s="52">
        <v>95</v>
      </c>
      <c r="C96" s="52">
        <v>2</v>
      </c>
      <c r="D96" s="52">
        <v>3</v>
      </c>
      <c r="E96" s="51" t="s">
        <v>329</v>
      </c>
      <c r="F96" s="55">
        <v>0.17</v>
      </c>
      <c r="G96" s="53">
        <v>122</v>
      </c>
      <c r="H96" s="76">
        <f t="shared" si="128"/>
        <v>20.740000000000002</v>
      </c>
      <c r="I96" s="77">
        <v>45</v>
      </c>
      <c r="J96" s="58">
        <f t="shared" si="129"/>
        <v>7.65</v>
      </c>
      <c r="K96" s="57"/>
      <c r="L96" s="58">
        <f t="shared" si="130"/>
        <v>0</v>
      </c>
      <c r="M96" s="77">
        <v>171</v>
      </c>
      <c r="N96" s="58">
        <f t="shared" si="163"/>
        <v>29.070000000000004</v>
      </c>
      <c r="O96" s="77">
        <v>174</v>
      </c>
      <c r="P96" s="58">
        <f t="shared" si="164"/>
        <v>29.580000000000002</v>
      </c>
      <c r="Q96" s="77">
        <v>177</v>
      </c>
      <c r="R96" s="58">
        <f t="shared" si="165"/>
        <v>30.090000000000003</v>
      </c>
      <c r="S96" s="77">
        <v>156</v>
      </c>
      <c r="T96" s="58">
        <f t="shared" si="166"/>
        <v>26.520000000000003</v>
      </c>
      <c r="U96" s="57">
        <v>143</v>
      </c>
      <c r="V96" s="58">
        <f t="shared" si="135"/>
        <v>24.310000000000002</v>
      </c>
      <c r="W96" s="77">
        <v>141</v>
      </c>
      <c r="X96" s="58">
        <f t="shared" si="136"/>
        <v>23.970000000000002</v>
      </c>
      <c r="Y96" s="57">
        <v>162</v>
      </c>
      <c r="Z96" s="58">
        <f t="shared" si="137"/>
        <v>27.540000000000003</v>
      </c>
      <c r="AA96" s="57">
        <v>34</v>
      </c>
      <c r="AB96" s="58">
        <f t="shared" si="138"/>
        <v>5.78</v>
      </c>
      <c r="AC96" s="57">
        <v>37</v>
      </c>
      <c r="AD96" s="58">
        <f t="shared" si="139"/>
        <v>6.29</v>
      </c>
      <c r="AE96" s="57">
        <v>37</v>
      </c>
      <c r="AF96" s="58">
        <f t="shared" si="140"/>
        <v>6.29</v>
      </c>
      <c r="AG96" s="57">
        <v>72</v>
      </c>
      <c r="AH96" s="58">
        <f t="shared" si="141"/>
        <v>12.24</v>
      </c>
      <c r="AI96" s="61">
        <v>87</v>
      </c>
      <c r="AJ96" s="58">
        <f t="shared" si="142"/>
        <v>14.790000000000001</v>
      </c>
      <c r="AK96" s="61">
        <v>74</v>
      </c>
      <c r="AL96" s="58">
        <f t="shared" si="167"/>
        <v>12.58</v>
      </c>
      <c r="AM96" s="61">
        <v>88</v>
      </c>
      <c r="AN96" s="58">
        <f t="shared" si="168"/>
        <v>14.96</v>
      </c>
      <c r="AO96" s="61">
        <v>47</v>
      </c>
      <c r="AP96" s="58">
        <f t="shared" si="145"/>
        <v>7.99</v>
      </c>
      <c r="AQ96" s="61">
        <v>25</v>
      </c>
      <c r="AR96" s="58">
        <f t="shared" si="169"/>
        <v>4.25</v>
      </c>
      <c r="AS96" s="57">
        <v>35</v>
      </c>
      <c r="AT96" s="58">
        <f t="shared" si="170"/>
        <v>5.95</v>
      </c>
      <c r="AU96" s="57">
        <v>34</v>
      </c>
      <c r="AV96" s="58">
        <f t="shared" si="171"/>
        <v>5.78</v>
      </c>
      <c r="AW96" s="57">
        <v>36</v>
      </c>
      <c r="AX96" s="58">
        <f t="shared" si="172"/>
        <v>6.12</v>
      </c>
      <c r="AY96" s="57">
        <v>27</v>
      </c>
      <c r="AZ96" s="58">
        <f t="shared" si="173"/>
        <v>4.5900000000000007</v>
      </c>
      <c r="BA96" s="57">
        <v>22</v>
      </c>
      <c r="BB96" s="58">
        <f t="shared" si="174"/>
        <v>3.74</v>
      </c>
      <c r="BC96" s="57">
        <v>21</v>
      </c>
      <c r="BD96" s="58">
        <f t="shared" si="175"/>
        <v>3.5700000000000003</v>
      </c>
      <c r="BE96" s="57">
        <v>26</v>
      </c>
      <c r="BF96" s="58">
        <f t="shared" si="176"/>
        <v>4.42</v>
      </c>
      <c r="BG96" s="57">
        <v>21</v>
      </c>
      <c r="BH96" s="58">
        <f t="shared" si="177"/>
        <v>3.5700000000000003</v>
      </c>
      <c r="BI96" s="57">
        <v>17</v>
      </c>
      <c r="BJ96" s="58">
        <f t="shared" si="178"/>
        <v>2.89</v>
      </c>
      <c r="BK96" s="62">
        <f t="shared" si="181"/>
        <v>45</v>
      </c>
      <c r="BL96" s="63">
        <f t="shared" si="181"/>
        <v>7.65</v>
      </c>
      <c r="BO96" s="101"/>
      <c r="BP96" s="101"/>
      <c r="BQ96" s="101"/>
      <c r="BR96" s="102" t="s">
        <v>179</v>
      </c>
      <c r="BS96" s="102" t="s">
        <v>329</v>
      </c>
      <c r="BT96" s="102" t="s">
        <v>199</v>
      </c>
      <c r="BU96" s="37" t="s">
        <v>175</v>
      </c>
      <c r="BV96" s="66">
        <f t="shared" si="156"/>
        <v>3531.9697066666663</v>
      </c>
      <c r="BW96" s="66">
        <f t="shared" si="157"/>
        <v>746.55625906709224</v>
      </c>
      <c r="BX96" s="66">
        <f t="shared" si="160"/>
        <v>21.13710821635734</v>
      </c>
      <c r="BY96" s="67"/>
      <c r="BZ96" s="104">
        <v>95</v>
      </c>
      <c r="CA96" s="82" t="s">
        <v>330</v>
      </c>
      <c r="CB96" s="83">
        <f t="shared" si="161"/>
        <v>11576859.254827023</v>
      </c>
      <c r="CC96" s="83">
        <f t="shared" si="162"/>
        <v>243530.23408025969</v>
      </c>
      <c r="CD96" s="70"/>
      <c r="CE96" s="103"/>
      <c r="CF96" s="103"/>
      <c r="CG96" s="103">
        <v>95</v>
      </c>
      <c r="CH96" s="71">
        <f t="shared" si="179"/>
        <v>2138037.5754012</v>
      </c>
      <c r="CI96" s="71">
        <f t="shared" si="179"/>
        <v>1242168.1758456442</v>
      </c>
      <c r="CJ96" s="71">
        <f t="shared" si="179"/>
        <v>1691482.1833765763</v>
      </c>
      <c r="CK96" s="71">
        <f t="shared" si="179"/>
        <v>630052.07173453318</v>
      </c>
      <c r="CL96" s="71">
        <f t="shared" si="179"/>
        <v>5165045.9880678682</v>
      </c>
      <c r="CM96" s="71">
        <f t="shared" si="179"/>
        <v>710073.26040119969</v>
      </c>
      <c r="CN96" s="71" t="str">
        <f t="shared" si="179"/>
        <v/>
      </c>
      <c r="CO96" s="71" t="str">
        <f t="shared" si="179"/>
        <v/>
      </c>
      <c r="CP96" s="71" t="str">
        <f t="shared" si="179"/>
        <v/>
      </c>
      <c r="CQ96" s="71" t="str">
        <f t="shared" si="179"/>
        <v/>
      </c>
      <c r="CR96" s="71"/>
      <c r="CS96" s="103">
        <v>95</v>
      </c>
      <c r="CT96" s="71">
        <f t="shared" si="180"/>
        <v>26158636259.675522</v>
      </c>
      <c r="CU96" s="71">
        <f t="shared" si="180"/>
        <v>20943010882.992519</v>
      </c>
      <c r="CV96" s="71">
        <f t="shared" si="180"/>
        <v>930800974.46703017</v>
      </c>
      <c r="CW96" s="71">
        <f t="shared" si="180"/>
        <v>541244626.6227299</v>
      </c>
      <c r="CX96" s="71">
        <f t="shared" si="180"/>
        <v>9544864894.4896584</v>
      </c>
      <c r="CY96" s="71">
        <f t="shared" si="180"/>
        <v>1188417272.9386027</v>
      </c>
      <c r="CZ96" s="71" t="str">
        <f t="shared" si="180"/>
        <v/>
      </c>
      <c r="DA96" s="71" t="str">
        <f t="shared" si="180"/>
        <v/>
      </c>
      <c r="DB96" s="71" t="str">
        <f t="shared" si="180"/>
        <v/>
      </c>
      <c r="DC96" s="72" t="str">
        <f t="shared" si="180"/>
        <v/>
      </c>
    </row>
    <row r="97" spans="1:107" ht="15" thickTop="1" x14ac:dyDescent="0.35">
      <c r="A97" s="52">
        <v>35</v>
      </c>
      <c r="B97" s="52">
        <v>96</v>
      </c>
      <c r="C97" s="52">
        <v>2</v>
      </c>
      <c r="D97" s="52">
        <v>3</v>
      </c>
      <c r="E97" s="51" t="s">
        <v>331</v>
      </c>
      <c r="F97" s="55">
        <v>0.17</v>
      </c>
      <c r="G97" s="53">
        <v>504</v>
      </c>
      <c r="H97" s="76">
        <f t="shared" si="128"/>
        <v>85.68</v>
      </c>
      <c r="I97" s="77">
        <v>184</v>
      </c>
      <c r="J97" s="58">
        <f t="shared" si="129"/>
        <v>31.28</v>
      </c>
      <c r="K97" s="57"/>
      <c r="L97" s="58">
        <f t="shared" si="130"/>
        <v>0</v>
      </c>
      <c r="M97" s="77">
        <v>504</v>
      </c>
      <c r="N97" s="58">
        <f t="shared" si="163"/>
        <v>85.68</v>
      </c>
      <c r="O97" s="77">
        <v>568</v>
      </c>
      <c r="P97" s="58">
        <f t="shared" si="164"/>
        <v>96.56</v>
      </c>
      <c r="Q97" s="77">
        <v>982</v>
      </c>
      <c r="R97" s="58">
        <f t="shared" si="165"/>
        <v>166.94000000000003</v>
      </c>
      <c r="S97" s="77">
        <v>552</v>
      </c>
      <c r="T97" s="58">
        <f t="shared" si="166"/>
        <v>93.84</v>
      </c>
      <c r="U97" s="57">
        <v>468</v>
      </c>
      <c r="V97" s="58">
        <f t="shared" si="135"/>
        <v>79.56</v>
      </c>
      <c r="W97" s="77">
        <v>456</v>
      </c>
      <c r="X97" s="58">
        <f t="shared" si="136"/>
        <v>77.52000000000001</v>
      </c>
      <c r="Y97" s="57">
        <v>488</v>
      </c>
      <c r="Z97" s="58">
        <f t="shared" si="137"/>
        <v>82.960000000000008</v>
      </c>
      <c r="AA97" s="57">
        <v>483</v>
      </c>
      <c r="AB97" s="58">
        <f t="shared" si="138"/>
        <v>82.11</v>
      </c>
      <c r="AC97" s="57">
        <v>670</v>
      </c>
      <c r="AD97" s="58">
        <f t="shared" si="139"/>
        <v>113.9</v>
      </c>
      <c r="AE97" s="57">
        <v>540</v>
      </c>
      <c r="AF97" s="58">
        <f t="shared" si="140"/>
        <v>91.800000000000011</v>
      </c>
      <c r="AG97" s="57">
        <v>489</v>
      </c>
      <c r="AH97" s="58">
        <f t="shared" si="141"/>
        <v>83.13000000000001</v>
      </c>
      <c r="AI97" s="61">
        <v>586</v>
      </c>
      <c r="AJ97" s="58">
        <f t="shared" si="142"/>
        <v>99.62</v>
      </c>
      <c r="AK97" s="61">
        <v>469</v>
      </c>
      <c r="AL97" s="58">
        <f t="shared" si="167"/>
        <v>79.73</v>
      </c>
      <c r="AM97" s="61">
        <v>426</v>
      </c>
      <c r="AN97" s="58">
        <f t="shared" si="168"/>
        <v>72.42</v>
      </c>
      <c r="AO97" s="61">
        <v>361</v>
      </c>
      <c r="AP97" s="58">
        <f t="shared" si="145"/>
        <v>61.370000000000005</v>
      </c>
      <c r="AQ97" s="61">
        <v>386</v>
      </c>
      <c r="AR97" s="58">
        <f t="shared" si="169"/>
        <v>65.62</v>
      </c>
      <c r="AS97" s="57">
        <v>520</v>
      </c>
      <c r="AT97" s="58">
        <f t="shared" si="170"/>
        <v>88.4</v>
      </c>
      <c r="AU97" s="57">
        <v>422</v>
      </c>
      <c r="AV97" s="58">
        <f t="shared" si="171"/>
        <v>71.740000000000009</v>
      </c>
      <c r="AW97" s="57">
        <v>344</v>
      </c>
      <c r="AX97" s="58">
        <f t="shared" si="172"/>
        <v>58.480000000000004</v>
      </c>
      <c r="AY97" s="57">
        <v>427</v>
      </c>
      <c r="AZ97" s="58">
        <f t="shared" si="173"/>
        <v>72.59</v>
      </c>
      <c r="BA97" s="57">
        <v>395</v>
      </c>
      <c r="BB97" s="58">
        <f t="shared" si="174"/>
        <v>67.150000000000006</v>
      </c>
      <c r="BC97" s="57">
        <v>424</v>
      </c>
      <c r="BD97" s="58">
        <f t="shared" si="175"/>
        <v>72.08</v>
      </c>
      <c r="BE97" s="57">
        <v>529</v>
      </c>
      <c r="BF97" s="58">
        <f t="shared" si="176"/>
        <v>89.93</v>
      </c>
      <c r="BG97" s="57">
        <v>565</v>
      </c>
      <c r="BH97" s="58">
        <f t="shared" si="177"/>
        <v>96.050000000000011</v>
      </c>
      <c r="BI97" s="57">
        <v>510</v>
      </c>
      <c r="BJ97" s="58">
        <f t="shared" si="178"/>
        <v>86.7</v>
      </c>
      <c r="BK97" s="62">
        <f t="shared" si="181"/>
        <v>184</v>
      </c>
      <c r="BL97" s="63">
        <f t="shared" si="181"/>
        <v>31.28</v>
      </c>
      <c r="BO97" s="102"/>
      <c r="BP97" s="102"/>
      <c r="BQ97" s="102"/>
      <c r="BR97" s="102" t="s">
        <v>179</v>
      </c>
      <c r="BS97" s="102" t="s">
        <v>331</v>
      </c>
      <c r="BT97" s="102" t="s">
        <v>325</v>
      </c>
      <c r="BU97" s="37" t="s">
        <v>175</v>
      </c>
      <c r="BV97" s="66">
        <f t="shared" si="156"/>
        <v>88519.990773333324</v>
      </c>
      <c r="BW97" s="66">
        <f t="shared" si="157"/>
        <v>4624.8572267838399</v>
      </c>
      <c r="BX97" s="66">
        <f t="shared" si="160"/>
        <v>5.2246472083649156</v>
      </c>
      <c r="BY97" s="67"/>
      <c r="BZ97" s="104">
        <v>96</v>
      </c>
      <c r="CA97" s="74" t="s">
        <v>93</v>
      </c>
      <c r="CB97" s="69">
        <f t="shared" si="161"/>
        <v>16477.742422133331</v>
      </c>
      <c r="CC97" s="69">
        <f t="shared" si="162"/>
        <v>3026.3489137082929</v>
      </c>
      <c r="CD97" s="70"/>
      <c r="CE97" s="103"/>
      <c r="CF97" s="103"/>
      <c r="CG97" s="103">
        <v>96</v>
      </c>
      <c r="CH97" s="71">
        <f t="shared" si="179"/>
        <v>16477.742422133331</v>
      </c>
      <c r="CI97" s="71" t="str">
        <f t="shared" si="179"/>
        <v/>
      </c>
      <c r="CJ97" s="71" t="str">
        <f t="shared" si="179"/>
        <v/>
      </c>
      <c r="CK97" s="71" t="str">
        <f t="shared" si="179"/>
        <v/>
      </c>
      <c r="CL97" s="71" t="str">
        <f t="shared" si="179"/>
        <v/>
      </c>
      <c r="CM97" s="71" t="str">
        <f t="shared" si="179"/>
        <v/>
      </c>
      <c r="CN97" s="71" t="str">
        <f t="shared" si="179"/>
        <v/>
      </c>
      <c r="CO97" s="71" t="str">
        <f t="shared" si="179"/>
        <v/>
      </c>
      <c r="CP97" s="71" t="str">
        <f t="shared" si="179"/>
        <v/>
      </c>
      <c r="CQ97" s="71" t="str">
        <f t="shared" si="179"/>
        <v/>
      </c>
      <c r="CR97" s="71"/>
      <c r="CS97" s="103">
        <v>96</v>
      </c>
      <c r="CT97" s="71">
        <f t="shared" si="180"/>
        <v>9158787.7475033645</v>
      </c>
      <c r="CU97" s="71" t="str">
        <f t="shared" si="180"/>
        <v/>
      </c>
      <c r="CV97" s="71" t="str">
        <f t="shared" si="180"/>
        <v/>
      </c>
      <c r="CW97" s="71" t="str">
        <f t="shared" si="180"/>
        <v/>
      </c>
      <c r="CX97" s="71" t="str">
        <f t="shared" si="180"/>
        <v/>
      </c>
      <c r="CY97" s="71" t="str">
        <f t="shared" si="180"/>
        <v/>
      </c>
      <c r="CZ97" s="71" t="str">
        <f t="shared" si="180"/>
        <v/>
      </c>
      <c r="DA97" s="71" t="str">
        <f t="shared" si="180"/>
        <v/>
      </c>
      <c r="DB97" s="71" t="str">
        <f t="shared" si="180"/>
        <v/>
      </c>
      <c r="DC97" s="72" t="str">
        <f t="shared" si="180"/>
        <v/>
      </c>
    </row>
    <row r="98" spans="1:107" x14ac:dyDescent="0.35">
      <c r="A98" s="52">
        <v>36</v>
      </c>
      <c r="B98" s="52">
        <v>97</v>
      </c>
      <c r="C98" s="52">
        <v>2</v>
      </c>
      <c r="D98" s="52">
        <v>3</v>
      </c>
      <c r="E98" s="51" t="s">
        <v>332</v>
      </c>
      <c r="F98" s="55">
        <v>0.17</v>
      </c>
      <c r="G98" s="53">
        <v>180</v>
      </c>
      <c r="H98" s="76">
        <f t="shared" si="128"/>
        <v>30.6</v>
      </c>
      <c r="I98" s="77">
        <v>66</v>
      </c>
      <c r="J98" s="58">
        <f t="shared" si="129"/>
        <v>11.22</v>
      </c>
      <c r="K98" s="57"/>
      <c r="L98" s="58">
        <f t="shared" si="130"/>
        <v>0</v>
      </c>
      <c r="M98" s="77">
        <v>197</v>
      </c>
      <c r="N98" s="58">
        <f t="shared" si="163"/>
        <v>33.49</v>
      </c>
      <c r="O98" s="77">
        <v>243</v>
      </c>
      <c r="P98" s="58">
        <f t="shared" si="164"/>
        <v>41.31</v>
      </c>
      <c r="Q98" s="77">
        <v>232</v>
      </c>
      <c r="R98" s="58">
        <f t="shared" si="165"/>
        <v>39.440000000000005</v>
      </c>
      <c r="S98" s="77">
        <v>323</v>
      </c>
      <c r="T98" s="58">
        <f t="shared" si="166"/>
        <v>54.910000000000004</v>
      </c>
      <c r="U98" s="57">
        <v>221</v>
      </c>
      <c r="V98" s="58">
        <f t="shared" si="135"/>
        <v>37.57</v>
      </c>
      <c r="W98" s="77">
        <v>260</v>
      </c>
      <c r="X98" s="58">
        <f t="shared" si="136"/>
        <v>44.2</v>
      </c>
      <c r="Y98" s="57">
        <v>204</v>
      </c>
      <c r="Z98" s="58">
        <f t="shared" si="137"/>
        <v>34.68</v>
      </c>
      <c r="AA98" s="57">
        <v>130</v>
      </c>
      <c r="AB98" s="58">
        <f t="shared" si="138"/>
        <v>22.1</v>
      </c>
      <c r="AC98" s="57">
        <v>115</v>
      </c>
      <c r="AD98" s="58">
        <f t="shared" si="139"/>
        <v>19.55</v>
      </c>
      <c r="AE98" s="57">
        <v>101</v>
      </c>
      <c r="AF98" s="58">
        <f t="shared" si="140"/>
        <v>17.170000000000002</v>
      </c>
      <c r="AG98" s="57">
        <v>143</v>
      </c>
      <c r="AH98" s="58">
        <f t="shared" si="141"/>
        <v>24.310000000000002</v>
      </c>
      <c r="AI98" s="61">
        <v>98</v>
      </c>
      <c r="AJ98" s="58">
        <f t="shared" si="142"/>
        <v>16.66</v>
      </c>
      <c r="AK98" s="61">
        <v>94</v>
      </c>
      <c r="AL98" s="58">
        <f t="shared" si="167"/>
        <v>15.98</v>
      </c>
      <c r="AM98" s="61">
        <v>110</v>
      </c>
      <c r="AN98" s="58">
        <f t="shared" si="168"/>
        <v>18.700000000000003</v>
      </c>
      <c r="AO98" s="61">
        <v>113</v>
      </c>
      <c r="AP98" s="58">
        <f t="shared" si="145"/>
        <v>19.21</v>
      </c>
      <c r="AQ98" s="61">
        <v>96</v>
      </c>
      <c r="AR98" s="58">
        <f t="shared" si="169"/>
        <v>16.32</v>
      </c>
      <c r="AS98" s="57">
        <v>89</v>
      </c>
      <c r="AT98" s="58">
        <f t="shared" si="170"/>
        <v>15.13</v>
      </c>
      <c r="AU98" s="57">
        <v>58</v>
      </c>
      <c r="AV98" s="58">
        <f t="shared" si="171"/>
        <v>9.8600000000000012</v>
      </c>
      <c r="AW98" s="57">
        <v>71</v>
      </c>
      <c r="AX98" s="58">
        <f t="shared" si="172"/>
        <v>12.07</v>
      </c>
      <c r="AY98" s="57">
        <v>56</v>
      </c>
      <c r="AZ98" s="58">
        <f t="shared" si="173"/>
        <v>9.5200000000000014</v>
      </c>
      <c r="BA98" s="57">
        <v>51</v>
      </c>
      <c r="BB98" s="58">
        <f t="shared" si="174"/>
        <v>8.67</v>
      </c>
      <c r="BC98" s="57">
        <v>49</v>
      </c>
      <c r="BD98" s="58">
        <f t="shared" si="175"/>
        <v>8.33</v>
      </c>
      <c r="BE98" s="57">
        <v>64</v>
      </c>
      <c r="BF98" s="58">
        <f t="shared" si="176"/>
        <v>10.88</v>
      </c>
      <c r="BG98" s="57">
        <v>108</v>
      </c>
      <c r="BH98" s="58">
        <f t="shared" si="177"/>
        <v>18.360000000000003</v>
      </c>
      <c r="BI98" s="57">
        <v>85</v>
      </c>
      <c r="BJ98" s="58">
        <f t="shared" si="178"/>
        <v>14.450000000000001</v>
      </c>
      <c r="BK98" s="62">
        <f t="shared" si="181"/>
        <v>66</v>
      </c>
      <c r="BL98" s="63">
        <f t="shared" si="181"/>
        <v>11.22</v>
      </c>
      <c r="BO98" s="101"/>
      <c r="BP98" s="101"/>
      <c r="BQ98" s="101"/>
      <c r="BR98" s="102" t="s">
        <v>179</v>
      </c>
      <c r="BS98" s="102" t="s">
        <v>332</v>
      </c>
      <c r="BT98" s="102" t="s">
        <v>199</v>
      </c>
      <c r="BU98" s="37" t="s">
        <v>175</v>
      </c>
      <c r="BV98" s="66">
        <f t="shared" si="156"/>
        <v>14183.065853333334</v>
      </c>
      <c r="BW98" s="66">
        <f t="shared" si="157"/>
        <v>3643.5977947281553</v>
      </c>
      <c r="BX98" s="66">
        <f t="shared" si="160"/>
        <v>25.68977562683903</v>
      </c>
      <c r="BY98" s="67"/>
      <c r="BZ98" s="104">
        <v>97</v>
      </c>
      <c r="CA98" s="105" t="s">
        <v>94</v>
      </c>
      <c r="CB98" s="69">
        <f t="shared" si="161"/>
        <v>49539.738227866663</v>
      </c>
      <c r="CC98" s="69">
        <f t="shared" si="162"/>
        <v>4908.7800725195184</v>
      </c>
      <c r="CD98" s="70"/>
      <c r="CE98" s="103"/>
      <c r="CF98" s="103"/>
      <c r="CG98" s="103">
        <v>97</v>
      </c>
      <c r="CH98" s="71">
        <f t="shared" ref="CH98:CQ113" si="182">IF(LOOKUP($CG98+CH$1/100,$BQ$2:$BQ$76,$BQ$2:$BQ$76)=  $CG98+CH$1/100,             LOOKUP($CG98+CH$1/100,$BQ$2:$BQ$76,$BV$2:$BV$76), "")</f>
        <v>23794.806331111107</v>
      </c>
      <c r="CI98" s="71">
        <f t="shared" si="182"/>
        <v>0</v>
      </c>
      <c r="CJ98" s="71">
        <f t="shared" si="182"/>
        <v>25744.931896755555</v>
      </c>
      <c r="CK98" s="71" t="str">
        <f t="shared" si="182"/>
        <v/>
      </c>
      <c r="CL98" s="71" t="str">
        <f t="shared" si="182"/>
        <v/>
      </c>
      <c r="CM98" s="71" t="str">
        <f t="shared" si="182"/>
        <v/>
      </c>
      <c r="CN98" s="71" t="str">
        <f t="shared" si="182"/>
        <v/>
      </c>
      <c r="CO98" s="71" t="str">
        <f t="shared" si="182"/>
        <v/>
      </c>
      <c r="CP98" s="71" t="str">
        <f t="shared" si="182"/>
        <v/>
      </c>
      <c r="CQ98" s="71" t="str">
        <f t="shared" si="182"/>
        <v/>
      </c>
      <c r="CR98" s="71"/>
      <c r="CS98" s="103">
        <v>97</v>
      </c>
      <c r="CT98" s="71">
        <f t="shared" ref="CT98:DC113" si="183">IF(LOOKUP($CS98+CT$1/100,$BQ$2:$BQ$76,$BQ$2:$BQ$76)=  $CS98+CT$1/100,             LOOKUP($CS98+CT$1/100,$BQ$2:$BQ$76,$BW$2:$BW$76)^2, "")</f>
        <v>3896157.6765448474</v>
      </c>
      <c r="CU98" s="71">
        <f t="shared" si="183"/>
        <v>0</v>
      </c>
      <c r="CV98" s="71">
        <f t="shared" si="183"/>
        <v>20199964.123819876</v>
      </c>
      <c r="CW98" s="71" t="str">
        <f t="shared" si="183"/>
        <v/>
      </c>
      <c r="CX98" s="71" t="str">
        <f t="shared" si="183"/>
        <v/>
      </c>
      <c r="CY98" s="71" t="str">
        <f t="shared" si="183"/>
        <v/>
      </c>
      <c r="CZ98" s="71" t="str">
        <f t="shared" si="183"/>
        <v/>
      </c>
      <c r="DA98" s="71" t="str">
        <f t="shared" si="183"/>
        <v/>
      </c>
      <c r="DB98" s="71" t="str">
        <f t="shared" si="183"/>
        <v/>
      </c>
      <c r="DC98" s="72" t="str">
        <f t="shared" si="183"/>
        <v/>
      </c>
    </row>
    <row r="99" spans="1:107" x14ac:dyDescent="0.35">
      <c r="A99" s="52">
        <v>37</v>
      </c>
      <c r="B99" s="52">
        <v>98</v>
      </c>
      <c r="C99" s="52">
        <v>2</v>
      </c>
      <c r="D99" s="52">
        <v>4</v>
      </c>
      <c r="E99" s="51" t="s">
        <v>333</v>
      </c>
      <c r="F99" s="55">
        <v>0.16</v>
      </c>
      <c r="G99" s="53">
        <v>1091</v>
      </c>
      <c r="H99" s="76">
        <f t="shared" si="128"/>
        <v>174.56</v>
      </c>
      <c r="I99" s="77">
        <v>398</v>
      </c>
      <c r="J99" s="58">
        <f t="shared" si="129"/>
        <v>63.68</v>
      </c>
      <c r="K99" s="57"/>
      <c r="L99" s="58">
        <f t="shared" si="130"/>
        <v>0</v>
      </c>
      <c r="M99" s="77">
        <v>1336</v>
      </c>
      <c r="N99" s="58">
        <f t="shared" si="163"/>
        <v>213.76</v>
      </c>
      <c r="O99" s="77">
        <v>1336</v>
      </c>
      <c r="P99" s="58">
        <f t="shared" si="164"/>
        <v>213.76</v>
      </c>
      <c r="Q99" s="77">
        <v>1335</v>
      </c>
      <c r="R99" s="58">
        <f t="shared" si="165"/>
        <v>213.6</v>
      </c>
      <c r="S99" s="77">
        <v>1330</v>
      </c>
      <c r="T99" s="58">
        <f t="shared" si="166"/>
        <v>212.8</v>
      </c>
      <c r="U99" s="57">
        <v>1342</v>
      </c>
      <c r="V99" s="58">
        <f t="shared" si="135"/>
        <v>214.72</v>
      </c>
      <c r="W99" s="77">
        <v>1410</v>
      </c>
      <c r="X99" s="58">
        <f t="shared" si="136"/>
        <v>225.6</v>
      </c>
      <c r="Y99" s="57">
        <v>1404</v>
      </c>
      <c r="Z99" s="58">
        <f t="shared" si="137"/>
        <v>224.64000000000001</v>
      </c>
      <c r="AA99" s="57">
        <v>949</v>
      </c>
      <c r="AB99" s="58">
        <f t="shared" si="138"/>
        <v>151.84</v>
      </c>
      <c r="AC99" s="57">
        <v>1122</v>
      </c>
      <c r="AD99" s="58">
        <f t="shared" si="139"/>
        <v>179.52</v>
      </c>
      <c r="AE99" s="57">
        <v>786</v>
      </c>
      <c r="AF99" s="58">
        <f t="shared" si="140"/>
        <v>125.76</v>
      </c>
      <c r="AG99" s="57">
        <v>569</v>
      </c>
      <c r="AH99" s="58">
        <f t="shared" si="141"/>
        <v>91.04</v>
      </c>
      <c r="AI99" s="61">
        <v>569</v>
      </c>
      <c r="AJ99" s="58">
        <f t="shared" si="142"/>
        <v>91.04</v>
      </c>
      <c r="AK99" s="61">
        <v>532</v>
      </c>
      <c r="AL99" s="58">
        <f t="shared" si="167"/>
        <v>85.12</v>
      </c>
      <c r="AM99" s="61">
        <v>511</v>
      </c>
      <c r="AN99" s="58">
        <f t="shared" si="168"/>
        <v>81.760000000000005</v>
      </c>
      <c r="AO99" s="61">
        <v>452</v>
      </c>
      <c r="AP99" s="58">
        <f t="shared" si="145"/>
        <v>72.320000000000007</v>
      </c>
      <c r="AQ99" s="61">
        <v>560</v>
      </c>
      <c r="AR99" s="58">
        <f t="shared" si="169"/>
        <v>89.600000000000009</v>
      </c>
      <c r="AS99" s="57">
        <v>632</v>
      </c>
      <c r="AT99" s="58">
        <f t="shared" si="170"/>
        <v>101.12</v>
      </c>
      <c r="AU99" s="57">
        <v>416</v>
      </c>
      <c r="AV99" s="58">
        <f t="shared" si="171"/>
        <v>66.56</v>
      </c>
      <c r="AW99" s="57">
        <v>517</v>
      </c>
      <c r="AX99" s="58">
        <f t="shared" si="172"/>
        <v>82.72</v>
      </c>
      <c r="AY99" s="57">
        <v>508</v>
      </c>
      <c r="AZ99" s="58">
        <f t="shared" si="173"/>
        <v>81.28</v>
      </c>
      <c r="BA99" s="57">
        <v>427</v>
      </c>
      <c r="BB99" s="58">
        <f t="shared" si="174"/>
        <v>68.320000000000007</v>
      </c>
      <c r="BC99" s="57">
        <v>414</v>
      </c>
      <c r="BD99" s="58">
        <f t="shared" si="175"/>
        <v>66.239999999999995</v>
      </c>
      <c r="BE99" s="57">
        <v>506</v>
      </c>
      <c r="BF99" s="58">
        <f t="shared" si="176"/>
        <v>80.960000000000008</v>
      </c>
      <c r="BG99" s="57">
        <v>613</v>
      </c>
      <c r="BH99" s="58">
        <f t="shared" si="177"/>
        <v>98.08</v>
      </c>
      <c r="BI99" s="57">
        <v>630</v>
      </c>
      <c r="BJ99" s="58">
        <f t="shared" si="178"/>
        <v>100.8</v>
      </c>
      <c r="BK99" s="62">
        <f t="shared" si="181"/>
        <v>398</v>
      </c>
      <c r="BL99" s="63">
        <f t="shared" si="181"/>
        <v>63.68</v>
      </c>
      <c r="BO99" s="102"/>
      <c r="BP99" s="102"/>
      <c r="BQ99" s="102"/>
      <c r="BR99" s="102" t="s">
        <v>179</v>
      </c>
      <c r="BS99" s="102" t="s">
        <v>333</v>
      </c>
      <c r="BT99" s="102" t="s">
        <v>327</v>
      </c>
      <c r="BU99" s="37" t="s">
        <v>175</v>
      </c>
      <c r="BV99" s="66">
        <f t="shared" si="156"/>
        <v>96522.10964000001</v>
      </c>
      <c r="BW99" s="66">
        <f t="shared" si="157"/>
        <v>11129.596551602999</v>
      </c>
      <c r="BX99" s="66">
        <f t="shared" si="160"/>
        <v>11.530618832424224</v>
      </c>
      <c r="BY99" s="67"/>
      <c r="BZ99" s="104">
        <v>98</v>
      </c>
      <c r="CA99" s="74" t="s">
        <v>95</v>
      </c>
      <c r="CB99" s="69">
        <f t="shared" si="161"/>
        <v>23155.740562311104</v>
      </c>
      <c r="CC99" s="69">
        <f t="shared" si="162"/>
        <v>1880.4934055987424</v>
      </c>
      <c r="CD99" s="70"/>
      <c r="CE99" s="103"/>
      <c r="CF99" s="103"/>
      <c r="CG99" s="103">
        <v>98</v>
      </c>
      <c r="CH99" s="71">
        <f t="shared" si="182"/>
        <v>23155.740562311104</v>
      </c>
      <c r="CI99" s="71" t="str">
        <f t="shared" si="182"/>
        <v/>
      </c>
      <c r="CJ99" s="71" t="str">
        <f t="shared" si="182"/>
        <v/>
      </c>
      <c r="CK99" s="71" t="str">
        <f t="shared" si="182"/>
        <v/>
      </c>
      <c r="CL99" s="71" t="str">
        <f t="shared" si="182"/>
        <v/>
      </c>
      <c r="CM99" s="71" t="str">
        <f t="shared" si="182"/>
        <v/>
      </c>
      <c r="CN99" s="71" t="str">
        <f t="shared" si="182"/>
        <v/>
      </c>
      <c r="CO99" s="71" t="str">
        <f t="shared" si="182"/>
        <v/>
      </c>
      <c r="CP99" s="71" t="str">
        <f t="shared" si="182"/>
        <v/>
      </c>
      <c r="CQ99" s="71" t="str">
        <f t="shared" si="182"/>
        <v/>
      </c>
      <c r="CR99" s="71"/>
      <c r="CS99" s="103">
        <v>98</v>
      </c>
      <c r="CT99" s="71">
        <f t="shared" si="183"/>
        <v>3536255.4485003562</v>
      </c>
      <c r="CU99" s="71" t="str">
        <f t="shared" si="183"/>
        <v/>
      </c>
      <c r="CV99" s="71" t="str">
        <f t="shared" si="183"/>
        <v/>
      </c>
      <c r="CW99" s="71" t="str">
        <f t="shared" si="183"/>
        <v/>
      </c>
      <c r="CX99" s="71" t="str">
        <f t="shared" si="183"/>
        <v/>
      </c>
      <c r="CY99" s="71" t="str">
        <f t="shared" si="183"/>
        <v/>
      </c>
      <c r="CZ99" s="71" t="str">
        <f t="shared" si="183"/>
        <v/>
      </c>
      <c r="DA99" s="71" t="str">
        <f t="shared" si="183"/>
        <v/>
      </c>
      <c r="DB99" s="71" t="str">
        <f t="shared" si="183"/>
        <v/>
      </c>
      <c r="DC99" s="72" t="str">
        <f t="shared" si="183"/>
        <v/>
      </c>
    </row>
    <row r="100" spans="1:107" x14ac:dyDescent="0.35">
      <c r="A100" s="52">
        <v>38</v>
      </c>
      <c r="B100" s="52">
        <v>99</v>
      </c>
      <c r="C100" s="52">
        <v>2</v>
      </c>
      <c r="D100" s="52">
        <v>4</v>
      </c>
      <c r="E100" s="51" t="s">
        <v>334</v>
      </c>
      <c r="F100" s="55">
        <v>0.16</v>
      </c>
      <c r="G100" s="53">
        <v>66</v>
      </c>
      <c r="H100" s="76">
        <f t="shared" si="128"/>
        <v>10.56</v>
      </c>
      <c r="I100" s="77">
        <v>24</v>
      </c>
      <c r="J100" s="58">
        <f t="shared" si="129"/>
        <v>3.84</v>
      </c>
      <c r="K100" s="57"/>
      <c r="L100" s="58">
        <f t="shared" si="130"/>
        <v>0</v>
      </c>
      <c r="M100" s="77">
        <v>62</v>
      </c>
      <c r="N100" s="58">
        <f t="shared" si="163"/>
        <v>9.92</v>
      </c>
      <c r="O100" s="77">
        <v>62</v>
      </c>
      <c r="P100" s="58">
        <f t="shared" si="164"/>
        <v>9.92</v>
      </c>
      <c r="Q100" s="77">
        <v>61</v>
      </c>
      <c r="R100" s="58">
        <f t="shared" si="165"/>
        <v>9.76</v>
      </c>
      <c r="S100" s="77">
        <v>53</v>
      </c>
      <c r="T100" s="58">
        <f t="shared" si="166"/>
        <v>8.48</v>
      </c>
      <c r="U100" s="57">
        <v>55</v>
      </c>
      <c r="V100" s="58">
        <f t="shared" si="135"/>
        <v>8.8000000000000007</v>
      </c>
      <c r="W100" s="77">
        <v>77</v>
      </c>
      <c r="X100" s="58">
        <f t="shared" si="136"/>
        <v>12.32</v>
      </c>
      <c r="Y100" s="57">
        <v>63</v>
      </c>
      <c r="Z100" s="58">
        <f t="shared" si="137"/>
        <v>10.08</v>
      </c>
      <c r="AA100" s="57">
        <v>70</v>
      </c>
      <c r="AB100" s="58">
        <f t="shared" si="138"/>
        <v>11.200000000000001</v>
      </c>
      <c r="AC100" s="57">
        <v>87</v>
      </c>
      <c r="AD100" s="58">
        <f t="shared" si="139"/>
        <v>13.92</v>
      </c>
      <c r="AE100" s="57">
        <v>101</v>
      </c>
      <c r="AF100" s="58">
        <f t="shared" si="140"/>
        <v>16.16</v>
      </c>
      <c r="AG100" s="57">
        <v>106</v>
      </c>
      <c r="AH100" s="58">
        <f t="shared" si="141"/>
        <v>16.96</v>
      </c>
      <c r="AI100" s="61">
        <v>112</v>
      </c>
      <c r="AJ100" s="58">
        <f t="shared" si="142"/>
        <v>17.920000000000002</v>
      </c>
      <c r="AK100" s="61">
        <v>92</v>
      </c>
      <c r="AL100" s="58">
        <f t="shared" si="167"/>
        <v>14.72</v>
      </c>
      <c r="AM100" s="61">
        <v>99</v>
      </c>
      <c r="AN100" s="58">
        <f t="shared" si="168"/>
        <v>15.84</v>
      </c>
      <c r="AO100" s="61">
        <v>100</v>
      </c>
      <c r="AP100" s="58">
        <f t="shared" si="145"/>
        <v>16</v>
      </c>
      <c r="AQ100" s="61">
        <v>121</v>
      </c>
      <c r="AR100" s="58">
        <f t="shared" si="169"/>
        <v>19.36</v>
      </c>
      <c r="AS100" s="57">
        <v>103</v>
      </c>
      <c r="AT100" s="58">
        <f t="shared" si="170"/>
        <v>16.48</v>
      </c>
      <c r="AU100" s="57">
        <v>90</v>
      </c>
      <c r="AV100" s="58">
        <f t="shared" si="171"/>
        <v>14.4</v>
      </c>
      <c r="AW100" s="57">
        <v>95</v>
      </c>
      <c r="AX100" s="58">
        <f t="shared" si="172"/>
        <v>15.200000000000001</v>
      </c>
      <c r="AY100" s="57">
        <v>81</v>
      </c>
      <c r="AZ100" s="58">
        <f t="shared" si="173"/>
        <v>12.96</v>
      </c>
      <c r="BA100" s="57">
        <v>59</v>
      </c>
      <c r="BB100" s="58">
        <f t="shared" si="174"/>
        <v>9.44</v>
      </c>
      <c r="BC100" s="57">
        <v>44</v>
      </c>
      <c r="BD100" s="58">
        <f t="shared" si="175"/>
        <v>7.04</v>
      </c>
      <c r="BE100" s="57">
        <v>41</v>
      </c>
      <c r="BF100" s="58">
        <f t="shared" si="176"/>
        <v>6.5600000000000005</v>
      </c>
      <c r="BG100" s="57">
        <v>50</v>
      </c>
      <c r="BH100" s="58">
        <f t="shared" si="177"/>
        <v>8</v>
      </c>
      <c r="BI100" s="57">
        <v>51</v>
      </c>
      <c r="BJ100" s="58">
        <f t="shared" si="178"/>
        <v>8.16</v>
      </c>
      <c r="BK100" s="62">
        <f t="shared" si="181"/>
        <v>24</v>
      </c>
      <c r="BL100" s="63">
        <f t="shared" si="181"/>
        <v>3.84</v>
      </c>
      <c r="BO100" s="102"/>
      <c r="BP100" s="102"/>
      <c r="BQ100" s="102"/>
      <c r="BR100" s="102" t="s">
        <v>179</v>
      </c>
      <c r="BS100" s="102" t="s">
        <v>334</v>
      </c>
      <c r="BT100" s="102" t="s">
        <v>327</v>
      </c>
      <c r="BU100" s="37" t="s">
        <v>175</v>
      </c>
      <c r="BV100" s="66">
        <f t="shared" si="156"/>
        <v>7836.5577866666672</v>
      </c>
      <c r="BW100" s="66">
        <f t="shared" si="157"/>
        <v>911.8393279848782</v>
      </c>
      <c r="BX100" s="66">
        <f t="shared" si="160"/>
        <v>11.635712423843877</v>
      </c>
      <c r="BY100" s="67"/>
      <c r="BZ100" s="104">
        <v>99</v>
      </c>
      <c r="CA100" s="74" t="s">
        <v>96</v>
      </c>
      <c r="CB100" s="69">
        <f t="shared" si="161"/>
        <v>0</v>
      </c>
      <c r="CC100" s="69">
        <f t="shared" si="162"/>
        <v>0</v>
      </c>
      <c r="CD100" s="70"/>
      <c r="CE100" s="103"/>
      <c r="CF100" s="103"/>
      <c r="CG100" s="103">
        <v>99</v>
      </c>
      <c r="CH100" s="71" t="str">
        <f t="shared" si="182"/>
        <v/>
      </c>
      <c r="CI100" s="71" t="str">
        <f t="shared" si="182"/>
        <v/>
      </c>
      <c r="CJ100" s="71" t="str">
        <f t="shared" si="182"/>
        <v/>
      </c>
      <c r="CK100" s="71" t="str">
        <f t="shared" si="182"/>
        <v/>
      </c>
      <c r="CL100" s="71" t="str">
        <f t="shared" si="182"/>
        <v/>
      </c>
      <c r="CM100" s="71" t="str">
        <f t="shared" si="182"/>
        <v/>
      </c>
      <c r="CN100" s="71" t="str">
        <f t="shared" si="182"/>
        <v/>
      </c>
      <c r="CO100" s="71" t="str">
        <f t="shared" si="182"/>
        <v/>
      </c>
      <c r="CP100" s="71" t="str">
        <f t="shared" si="182"/>
        <v/>
      </c>
      <c r="CQ100" s="71" t="str">
        <f t="shared" si="182"/>
        <v/>
      </c>
      <c r="CR100" s="71"/>
      <c r="CS100" s="103">
        <v>99</v>
      </c>
      <c r="CT100" s="71" t="str">
        <f t="shared" si="183"/>
        <v/>
      </c>
      <c r="CU100" s="71" t="str">
        <f t="shared" si="183"/>
        <v/>
      </c>
      <c r="CV100" s="71" t="str">
        <f t="shared" si="183"/>
        <v/>
      </c>
      <c r="CW100" s="71" t="str">
        <f t="shared" si="183"/>
        <v/>
      </c>
      <c r="CX100" s="71" t="str">
        <f t="shared" si="183"/>
        <v/>
      </c>
      <c r="CY100" s="71" t="str">
        <f t="shared" si="183"/>
        <v/>
      </c>
      <c r="CZ100" s="71" t="str">
        <f t="shared" si="183"/>
        <v/>
      </c>
      <c r="DA100" s="71" t="str">
        <f t="shared" si="183"/>
        <v/>
      </c>
      <c r="DB100" s="71" t="str">
        <f t="shared" si="183"/>
        <v/>
      </c>
      <c r="DC100" s="72" t="str">
        <f t="shared" si="183"/>
        <v/>
      </c>
    </row>
    <row r="101" spans="1:107" x14ac:dyDescent="0.35">
      <c r="A101" s="52">
        <v>39</v>
      </c>
      <c r="B101" s="52">
        <v>100</v>
      </c>
      <c r="C101" s="52">
        <v>2</v>
      </c>
      <c r="D101" s="52">
        <v>4</v>
      </c>
      <c r="E101" s="51" t="s">
        <v>335</v>
      </c>
      <c r="F101" s="55">
        <v>0.16</v>
      </c>
      <c r="G101" s="53">
        <v>486</v>
      </c>
      <c r="H101" s="76">
        <f t="shared" si="128"/>
        <v>77.760000000000005</v>
      </c>
      <c r="I101" s="77">
        <v>178</v>
      </c>
      <c r="J101" s="58">
        <f t="shared" si="129"/>
        <v>28.48</v>
      </c>
      <c r="K101" s="57"/>
      <c r="L101" s="58">
        <f t="shared" si="130"/>
        <v>0</v>
      </c>
      <c r="M101" s="77">
        <v>402</v>
      </c>
      <c r="N101" s="58">
        <f t="shared" si="163"/>
        <v>64.320000000000007</v>
      </c>
      <c r="O101" s="77">
        <v>402</v>
      </c>
      <c r="P101" s="58">
        <f t="shared" si="164"/>
        <v>64.320000000000007</v>
      </c>
      <c r="Q101" s="77">
        <v>442</v>
      </c>
      <c r="R101" s="58">
        <f t="shared" si="165"/>
        <v>70.72</v>
      </c>
      <c r="S101" s="77">
        <v>647</v>
      </c>
      <c r="T101" s="58">
        <f t="shared" si="166"/>
        <v>103.52</v>
      </c>
      <c r="U101" s="57">
        <v>636</v>
      </c>
      <c r="V101" s="58">
        <f t="shared" si="135"/>
        <v>101.76</v>
      </c>
      <c r="W101" s="77">
        <v>570</v>
      </c>
      <c r="X101" s="58">
        <f t="shared" si="136"/>
        <v>91.2</v>
      </c>
      <c r="Y101" s="57">
        <v>554</v>
      </c>
      <c r="Z101" s="58">
        <f t="shared" si="137"/>
        <v>88.64</v>
      </c>
      <c r="AA101" s="57">
        <v>386</v>
      </c>
      <c r="AB101" s="58">
        <f t="shared" si="138"/>
        <v>61.76</v>
      </c>
      <c r="AC101" s="57">
        <v>354</v>
      </c>
      <c r="AD101" s="58">
        <f t="shared" si="139"/>
        <v>56.64</v>
      </c>
      <c r="AE101" s="57">
        <v>400</v>
      </c>
      <c r="AF101" s="58">
        <f t="shared" si="140"/>
        <v>64</v>
      </c>
      <c r="AG101" s="57">
        <v>400</v>
      </c>
      <c r="AH101" s="58">
        <f t="shared" si="141"/>
        <v>64</v>
      </c>
      <c r="AI101" s="61">
        <v>441</v>
      </c>
      <c r="AJ101" s="58">
        <f t="shared" si="142"/>
        <v>70.56</v>
      </c>
      <c r="AK101" s="61">
        <v>433</v>
      </c>
      <c r="AL101" s="58">
        <f t="shared" si="167"/>
        <v>69.28</v>
      </c>
      <c r="AM101" s="61">
        <v>309</v>
      </c>
      <c r="AN101" s="58">
        <f t="shared" si="168"/>
        <v>49.44</v>
      </c>
      <c r="AO101" s="61">
        <v>269</v>
      </c>
      <c r="AP101" s="58">
        <f t="shared" si="145"/>
        <v>43.04</v>
      </c>
      <c r="AQ101" s="61">
        <v>250</v>
      </c>
      <c r="AR101" s="58">
        <f t="shared" si="169"/>
        <v>40</v>
      </c>
      <c r="AS101" s="57">
        <v>340</v>
      </c>
      <c r="AT101" s="58">
        <f t="shared" si="170"/>
        <v>54.4</v>
      </c>
      <c r="AU101" s="57">
        <v>241</v>
      </c>
      <c r="AV101" s="58">
        <f t="shared" si="171"/>
        <v>38.56</v>
      </c>
      <c r="AW101" s="57">
        <v>289</v>
      </c>
      <c r="AX101" s="58">
        <f t="shared" si="172"/>
        <v>46.24</v>
      </c>
      <c r="AY101" s="57">
        <v>311</v>
      </c>
      <c r="AZ101" s="58">
        <f t="shared" si="173"/>
        <v>49.76</v>
      </c>
      <c r="BA101" s="57">
        <v>373</v>
      </c>
      <c r="BB101" s="58">
        <f t="shared" si="174"/>
        <v>59.68</v>
      </c>
      <c r="BC101" s="57">
        <v>268</v>
      </c>
      <c r="BD101" s="58">
        <f t="shared" si="175"/>
        <v>42.88</v>
      </c>
      <c r="BE101" s="57">
        <v>315</v>
      </c>
      <c r="BF101" s="58">
        <f t="shared" si="176"/>
        <v>50.4</v>
      </c>
      <c r="BG101" s="57">
        <v>382</v>
      </c>
      <c r="BH101" s="58">
        <f t="shared" si="177"/>
        <v>61.120000000000005</v>
      </c>
      <c r="BI101" s="57">
        <v>255</v>
      </c>
      <c r="BJ101" s="58">
        <f t="shared" si="178"/>
        <v>40.800000000000004</v>
      </c>
      <c r="BK101" s="62">
        <f t="shared" si="181"/>
        <v>178</v>
      </c>
      <c r="BL101" s="63">
        <f t="shared" si="181"/>
        <v>28.48</v>
      </c>
      <c r="BO101" s="102"/>
      <c r="BP101" s="102"/>
      <c r="BQ101" s="102"/>
      <c r="BR101" s="102" t="s">
        <v>179</v>
      </c>
      <c r="BS101" s="102" t="s">
        <v>335</v>
      </c>
      <c r="BT101" s="102" t="s">
        <v>327</v>
      </c>
      <c r="BU101" s="37" t="s">
        <v>175</v>
      </c>
      <c r="BV101" s="66">
        <f t="shared" si="156"/>
        <v>52538.049386666658</v>
      </c>
      <c r="BW101" s="66">
        <f t="shared" si="157"/>
        <v>10518.450391117047</v>
      </c>
      <c r="BX101" s="66">
        <f t="shared" si="160"/>
        <v>20.020633643445596</v>
      </c>
      <c r="BY101" s="67"/>
      <c r="BZ101" s="104">
        <v>100</v>
      </c>
      <c r="CA101" s="74" t="s">
        <v>97</v>
      </c>
      <c r="CB101" s="69">
        <f t="shared" si="161"/>
        <v>0</v>
      </c>
      <c r="CC101" s="69">
        <f t="shared" si="162"/>
        <v>0</v>
      </c>
      <c r="CD101" s="70"/>
      <c r="CE101" s="103"/>
      <c r="CF101" s="103"/>
      <c r="CG101" s="103">
        <v>100</v>
      </c>
      <c r="CH101" s="71" t="str">
        <f t="shared" si="182"/>
        <v/>
      </c>
      <c r="CI101" s="71" t="str">
        <f t="shared" si="182"/>
        <v/>
      </c>
      <c r="CJ101" s="71" t="str">
        <f t="shared" si="182"/>
        <v/>
      </c>
      <c r="CK101" s="71" t="str">
        <f t="shared" si="182"/>
        <v/>
      </c>
      <c r="CL101" s="71" t="str">
        <f t="shared" si="182"/>
        <v/>
      </c>
      <c r="CM101" s="71" t="str">
        <f t="shared" si="182"/>
        <v/>
      </c>
      <c r="CN101" s="71" t="str">
        <f t="shared" si="182"/>
        <v/>
      </c>
      <c r="CO101" s="71" t="str">
        <f t="shared" si="182"/>
        <v/>
      </c>
      <c r="CP101" s="71" t="str">
        <f t="shared" si="182"/>
        <v/>
      </c>
      <c r="CQ101" s="71" t="str">
        <f t="shared" si="182"/>
        <v/>
      </c>
      <c r="CR101" s="71"/>
      <c r="CS101" s="103">
        <v>100</v>
      </c>
      <c r="CT101" s="71" t="str">
        <f t="shared" si="183"/>
        <v/>
      </c>
      <c r="CU101" s="71" t="str">
        <f t="shared" si="183"/>
        <v/>
      </c>
      <c r="CV101" s="71" t="str">
        <f t="shared" si="183"/>
        <v/>
      </c>
      <c r="CW101" s="71" t="str">
        <f t="shared" si="183"/>
        <v/>
      </c>
      <c r="CX101" s="71" t="str">
        <f t="shared" si="183"/>
        <v/>
      </c>
      <c r="CY101" s="71" t="str">
        <f t="shared" si="183"/>
        <v/>
      </c>
      <c r="CZ101" s="71" t="str">
        <f t="shared" si="183"/>
        <v/>
      </c>
      <c r="DA101" s="71" t="str">
        <f t="shared" si="183"/>
        <v/>
      </c>
      <c r="DB101" s="71" t="str">
        <f t="shared" si="183"/>
        <v/>
      </c>
      <c r="DC101" s="72" t="str">
        <f t="shared" si="183"/>
        <v/>
      </c>
    </row>
    <row r="102" spans="1:107" x14ac:dyDescent="0.35">
      <c r="A102" s="52">
        <v>40</v>
      </c>
      <c r="B102" s="52">
        <v>101</v>
      </c>
      <c r="C102" s="52">
        <v>2</v>
      </c>
      <c r="D102" s="52">
        <v>4</v>
      </c>
      <c r="E102" s="51" t="s">
        <v>336</v>
      </c>
      <c r="F102" s="55">
        <v>0.16</v>
      </c>
      <c r="G102" s="53">
        <v>11</v>
      </c>
      <c r="H102" s="76">
        <f t="shared" si="128"/>
        <v>1.76</v>
      </c>
      <c r="I102" s="77">
        <v>3</v>
      </c>
      <c r="J102" s="58">
        <f t="shared" si="129"/>
        <v>0.48</v>
      </c>
      <c r="K102" s="57"/>
      <c r="L102" s="58">
        <f t="shared" si="130"/>
        <v>0</v>
      </c>
      <c r="AO102" s="61">
        <v>12</v>
      </c>
      <c r="AP102" s="58">
        <f t="shared" si="145"/>
        <v>1.92</v>
      </c>
      <c r="AQ102" s="61">
        <v>10</v>
      </c>
      <c r="AR102" s="58">
        <f t="shared" si="169"/>
        <v>1.6</v>
      </c>
      <c r="AT102" s="58">
        <f t="shared" si="170"/>
        <v>0</v>
      </c>
      <c r="AV102" s="58">
        <f t="shared" si="171"/>
        <v>0</v>
      </c>
      <c r="AY102" s="57">
        <v>4</v>
      </c>
      <c r="AZ102" s="58">
        <f t="shared" si="173"/>
        <v>0.64</v>
      </c>
      <c r="BA102" s="57">
        <v>1</v>
      </c>
      <c r="BB102" s="58">
        <f t="shared" si="174"/>
        <v>0.16</v>
      </c>
      <c r="BC102" s="57">
        <v>1</v>
      </c>
      <c r="BD102" s="58">
        <f t="shared" si="175"/>
        <v>0.16</v>
      </c>
      <c r="BE102" s="57">
        <v>2</v>
      </c>
      <c r="BF102" s="58">
        <f t="shared" si="176"/>
        <v>0.32</v>
      </c>
      <c r="BG102" s="57">
        <v>1</v>
      </c>
      <c r="BH102" s="58">
        <f t="shared" si="177"/>
        <v>0.16</v>
      </c>
      <c r="BI102" s="57">
        <v>1</v>
      </c>
      <c r="BJ102" s="58">
        <f t="shared" si="178"/>
        <v>0.16</v>
      </c>
      <c r="BK102" s="62">
        <f t="shared" si="181"/>
        <v>3</v>
      </c>
      <c r="BL102" s="63">
        <f t="shared" si="181"/>
        <v>0.48</v>
      </c>
      <c r="BO102" s="102"/>
      <c r="BP102" s="102"/>
      <c r="BQ102" s="102"/>
      <c r="BR102" s="102" t="s">
        <v>179</v>
      </c>
      <c r="BS102" s="102" t="s">
        <v>336</v>
      </c>
      <c r="BT102" s="102" t="s">
        <v>327</v>
      </c>
      <c r="BU102" s="37" t="s">
        <v>175</v>
      </c>
      <c r="BV102" s="66">
        <f t="shared" si="156"/>
        <v>220.74810666666664</v>
      </c>
      <c r="BW102" s="66">
        <f t="shared" si="157"/>
        <v>95.586734105325178</v>
      </c>
      <c r="BX102" s="66">
        <f t="shared" si="160"/>
        <v>43.301270189221938</v>
      </c>
      <c r="BY102" s="67"/>
      <c r="BZ102" s="104">
        <v>101</v>
      </c>
      <c r="CA102" s="74" t="s">
        <v>98</v>
      </c>
      <c r="CB102" s="69">
        <f t="shared" si="161"/>
        <v>0</v>
      </c>
      <c r="CC102" s="69">
        <f t="shared" si="162"/>
        <v>0</v>
      </c>
      <c r="CD102" s="70"/>
      <c r="CE102" s="103"/>
      <c r="CF102" s="103"/>
      <c r="CG102" s="103">
        <v>101</v>
      </c>
      <c r="CH102" s="71">
        <f t="shared" si="182"/>
        <v>0</v>
      </c>
      <c r="CI102" s="71" t="str">
        <f t="shared" si="182"/>
        <v/>
      </c>
      <c r="CJ102" s="71" t="str">
        <f t="shared" si="182"/>
        <v/>
      </c>
      <c r="CK102" s="71" t="str">
        <f t="shared" si="182"/>
        <v/>
      </c>
      <c r="CL102" s="71" t="str">
        <f t="shared" si="182"/>
        <v/>
      </c>
      <c r="CM102" s="71" t="str">
        <f t="shared" si="182"/>
        <v/>
      </c>
      <c r="CN102" s="71" t="str">
        <f t="shared" si="182"/>
        <v/>
      </c>
      <c r="CO102" s="71" t="str">
        <f t="shared" si="182"/>
        <v/>
      </c>
      <c r="CP102" s="71" t="str">
        <f t="shared" si="182"/>
        <v/>
      </c>
      <c r="CQ102" s="71" t="str">
        <f t="shared" si="182"/>
        <v/>
      </c>
      <c r="CR102" s="71"/>
      <c r="CS102" s="103">
        <v>101</v>
      </c>
      <c r="CT102" s="71">
        <f t="shared" si="183"/>
        <v>0</v>
      </c>
      <c r="CU102" s="71" t="str">
        <f t="shared" si="183"/>
        <v/>
      </c>
      <c r="CV102" s="71" t="str">
        <f t="shared" si="183"/>
        <v/>
      </c>
      <c r="CW102" s="71" t="str">
        <f t="shared" si="183"/>
        <v/>
      </c>
      <c r="CX102" s="71" t="str">
        <f t="shared" si="183"/>
        <v/>
      </c>
      <c r="CY102" s="71" t="str">
        <f t="shared" si="183"/>
        <v/>
      </c>
      <c r="CZ102" s="71" t="str">
        <f t="shared" si="183"/>
        <v/>
      </c>
      <c r="DA102" s="71" t="str">
        <f t="shared" si="183"/>
        <v/>
      </c>
      <c r="DB102" s="71" t="str">
        <f t="shared" si="183"/>
        <v/>
      </c>
      <c r="DC102" s="72" t="str">
        <f t="shared" si="183"/>
        <v/>
      </c>
    </row>
    <row r="103" spans="1:107" x14ac:dyDescent="0.35">
      <c r="A103" s="52">
        <v>41</v>
      </c>
      <c r="B103" s="52">
        <v>102</v>
      </c>
      <c r="C103" s="52">
        <v>2</v>
      </c>
      <c r="D103" s="52">
        <v>4</v>
      </c>
      <c r="E103" s="80" t="s">
        <v>337</v>
      </c>
      <c r="F103" s="55">
        <v>0.16</v>
      </c>
      <c r="G103" s="53">
        <v>277</v>
      </c>
      <c r="H103" s="76">
        <f t="shared" si="128"/>
        <v>44.32</v>
      </c>
      <c r="I103" s="77">
        <v>101</v>
      </c>
      <c r="J103" s="58">
        <f t="shared" si="129"/>
        <v>16.16</v>
      </c>
      <c r="K103" s="57"/>
      <c r="L103" s="58">
        <f t="shared" si="130"/>
        <v>0</v>
      </c>
      <c r="M103" s="77">
        <v>277</v>
      </c>
      <c r="N103" s="58">
        <f t="shared" ref="N103:N124" si="184">PRODUCT(F103*M103)</f>
        <v>44.32</v>
      </c>
      <c r="O103" s="77">
        <v>277</v>
      </c>
      <c r="P103" s="58">
        <f t="shared" ref="P103:P124" si="185">PRODUCT(F103*O103)</f>
        <v>44.32</v>
      </c>
      <c r="Q103" s="77">
        <v>266</v>
      </c>
      <c r="R103" s="58">
        <f t="shared" ref="R103:R124" si="186">PRODUCT(F103*Q103)</f>
        <v>42.56</v>
      </c>
      <c r="S103" s="77">
        <v>292</v>
      </c>
      <c r="T103" s="58">
        <f t="shared" ref="T103:T124" si="187">PRODUCT(F103*S103)</f>
        <v>46.72</v>
      </c>
      <c r="U103" s="57">
        <v>293</v>
      </c>
      <c r="V103" s="58">
        <f t="shared" ref="V103:V125" si="188">PRODUCT(U103*F103)</f>
        <v>46.88</v>
      </c>
      <c r="W103" s="77">
        <v>261</v>
      </c>
      <c r="X103" s="58">
        <f t="shared" ref="X103:X125" si="189">PRODUCT(W103*F103)</f>
        <v>41.76</v>
      </c>
      <c r="Y103" s="57">
        <v>296</v>
      </c>
      <c r="Z103" s="58">
        <f t="shared" ref="Z103:Z125" si="190">PRODUCT(Y103*F103)</f>
        <v>47.36</v>
      </c>
      <c r="AA103" s="57">
        <v>252</v>
      </c>
      <c r="AB103" s="58">
        <f t="shared" ref="AB103:AB125" si="191">PRODUCT(AA103*F103)</f>
        <v>40.32</v>
      </c>
      <c r="AC103" s="57">
        <v>304</v>
      </c>
      <c r="AD103" s="58">
        <f t="shared" ref="AD103:AD125" si="192">PRODUCT(AC103*F103)</f>
        <v>48.64</v>
      </c>
      <c r="AE103" s="57">
        <v>312</v>
      </c>
      <c r="AF103" s="58">
        <f>PRODUCT(F103,AE103)</f>
        <v>49.92</v>
      </c>
      <c r="AG103" s="57">
        <v>285</v>
      </c>
      <c r="AH103" s="58">
        <f>PRODUCT(F103,AG103)</f>
        <v>45.6</v>
      </c>
      <c r="AI103" s="61">
        <v>302</v>
      </c>
      <c r="AJ103" s="58">
        <f>PRODUCT(F103,AI103)</f>
        <v>48.32</v>
      </c>
      <c r="AK103" s="61">
        <v>280</v>
      </c>
      <c r="AL103" s="58">
        <f t="shared" ref="AL103:AL124" si="193">PRODUCT(F103,AK103)</f>
        <v>44.800000000000004</v>
      </c>
      <c r="AM103" s="61">
        <v>315</v>
      </c>
      <c r="AN103" s="58">
        <f t="shared" ref="AN103:AN124" si="194">PRODUCT(F103,AM103)</f>
        <v>50.4</v>
      </c>
      <c r="AO103" s="61">
        <v>135</v>
      </c>
      <c r="AP103" s="58">
        <f t="shared" si="145"/>
        <v>21.6</v>
      </c>
      <c r="AQ103" s="61">
        <v>97</v>
      </c>
      <c r="AR103" s="58">
        <f t="shared" si="169"/>
        <v>15.52</v>
      </c>
      <c r="AS103" s="57">
        <v>129</v>
      </c>
      <c r="AT103" s="58">
        <f t="shared" si="170"/>
        <v>20.64</v>
      </c>
      <c r="AU103" s="57">
        <v>122</v>
      </c>
      <c r="AV103" s="58">
        <f t="shared" si="171"/>
        <v>19.52</v>
      </c>
      <c r="AW103" s="57">
        <v>104</v>
      </c>
      <c r="AX103" s="58">
        <f t="shared" ref="AX103:AX124" si="195">PRODUCT(F103*AW103)</f>
        <v>16.64</v>
      </c>
      <c r="AY103" s="57">
        <v>112</v>
      </c>
      <c r="AZ103" s="58">
        <f t="shared" si="173"/>
        <v>17.920000000000002</v>
      </c>
      <c r="BA103" s="57">
        <v>82</v>
      </c>
      <c r="BB103" s="58">
        <f t="shared" si="174"/>
        <v>13.120000000000001</v>
      </c>
      <c r="BC103" s="57">
        <v>67</v>
      </c>
      <c r="BD103" s="58">
        <f t="shared" si="175"/>
        <v>10.72</v>
      </c>
      <c r="BE103" s="57">
        <v>117</v>
      </c>
      <c r="BF103" s="58">
        <f t="shared" si="176"/>
        <v>18.72</v>
      </c>
      <c r="BG103" s="57">
        <v>134</v>
      </c>
      <c r="BH103" s="58">
        <f t="shared" si="177"/>
        <v>21.44</v>
      </c>
      <c r="BI103" s="57">
        <v>109</v>
      </c>
      <c r="BJ103" s="58">
        <f t="shared" si="178"/>
        <v>17.440000000000001</v>
      </c>
      <c r="BK103" s="62">
        <f t="shared" si="181"/>
        <v>101</v>
      </c>
      <c r="BL103" s="63">
        <f t="shared" si="181"/>
        <v>16.16</v>
      </c>
      <c r="BO103" s="102"/>
      <c r="BP103" s="102"/>
      <c r="BQ103" s="102"/>
      <c r="BR103" s="102" t="s">
        <v>179</v>
      </c>
      <c r="BS103" s="102" t="s">
        <v>337</v>
      </c>
      <c r="BT103" s="102" t="s">
        <v>327</v>
      </c>
      <c r="BU103" s="37" t="s">
        <v>175</v>
      </c>
      <c r="BV103" s="66">
        <f t="shared" si="156"/>
        <v>19867.329599999997</v>
      </c>
      <c r="BW103" s="66">
        <f t="shared" si="157"/>
        <v>2113.742370147063</v>
      </c>
      <c r="BX103" s="66">
        <f t="shared" si="160"/>
        <v>10.639287779003089</v>
      </c>
      <c r="BY103" s="67"/>
      <c r="BZ103" s="104">
        <v>102</v>
      </c>
      <c r="CA103" s="74" t="s">
        <v>99</v>
      </c>
      <c r="CB103" s="69">
        <f t="shared" si="161"/>
        <v>6626.8581621333333</v>
      </c>
      <c r="CC103" s="69">
        <f t="shared" si="162"/>
        <v>744.75362771070388</v>
      </c>
      <c r="CD103" s="70"/>
      <c r="CE103" s="103"/>
      <c r="CF103" s="103"/>
      <c r="CG103" s="103">
        <v>102</v>
      </c>
      <c r="CH103" s="71">
        <f t="shared" si="182"/>
        <v>6626.8581621333333</v>
      </c>
      <c r="CI103" s="71" t="str">
        <f t="shared" si="182"/>
        <v/>
      </c>
      <c r="CJ103" s="71" t="str">
        <f t="shared" si="182"/>
        <v/>
      </c>
      <c r="CK103" s="71" t="str">
        <f t="shared" si="182"/>
        <v/>
      </c>
      <c r="CL103" s="71" t="str">
        <f t="shared" si="182"/>
        <v/>
      </c>
      <c r="CM103" s="71" t="str">
        <f t="shared" si="182"/>
        <v/>
      </c>
      <c r="CN103" s="71" t="str">
        <f t="shared" si="182"/>
        <v/>
      </c>
      <c r="CO103" s="71" t="str">
        <f t="shared" si="182"/>
        <v/>
      </c>
      <c r="CP103" s="71" t="str">
        <f t="shared" si="182"/>
        <v/>
      </c>
      <c r="CQ103" s="71" t="str">
        <f t="shared" si="182"/>
        <v/>
      </c>
      <c r="CR103" s="71"/>
      <c r="CS103" s="103">
        <v>102</v>
      </c>
      <c r="CT103" s="71">
        <f t="shared" si="183"/>
        <v>554657.96598825371</v>
      </c>
      <c r="CU103" s="71" t="str">
        <f t="shared" si="183"/>
        <v/>
      </c>
      <c r="CV103" s="71" t="str">
        <f t="shared" si="183"/>
        <v/>
      </c>
      <c r="CW103" s="71" t="str">
        <f t="shared" si="183"/>
        <v/>
      </c>
      <c r="CX103" s="71" t="str">
        <f t="shared" si="183"/>
        <v/>
      </c>
      <c r="CY103" s="71" t="str">
        <f t="shared" si="183"/>
        <v/>
      </c>
      <c r="CZ103" s="71" t="str">
        <f t="shared" si="183"/>
        <v/>
      </c>
      <c r="DA103" s="71" t="str">
        <f t="shared" si="183"/>
        <v/>
      </c>
      <c r="DB103" s="71" t="str">
        <f t="shared" si="183"/>
        <v/>
      </c>
      <c r="DC103" s="72" t="str">
        <f t="shared" si="183"/>
        <v/>
      </c>
    </row>
    <row r="104" spans="1:107" x14ac:dyDescent="0.35">
      <c r="A104" s="52">
        <v>42</v>
      </c>
      <c r="B104" s="52">
        <v>103</v>
      </c>
      <c r="C104" s="52">
        <v>2</v>
      </c>
      <c r="D104" s="52">
        <v>4</v>
      </c>
      <c r="E104" s="80" t="s">
        <v>338</v>
      </c>
      <c r="F104" s="55">
        <v>0.16</v>
      </c>
      <c r="G104" s="53">
        <v>114</v>
      </c>
      <c r="H104" s="76">
        <f t="shared" si="128"/>
        <v>18.240000000000002</v>
      </c>
      <c r="I104" s="77">
        <v>42</v>
      </c>
      <c r="J104" s="58">
        <f t="shared" si="129"/>
        <v>6.72</v>
      </c>
      <c r="K104" s="57"/>
      <c r="L104" s="58">
        <f t="shared" si="130"/>
        <v>0</v>
      </c>
      <c r="M104" s="77">
        <v>114</v>
      </c>
      <c r="N104" s="58">
        <f t="shared" si="184"/>
        <v>18.240000000000002</v>
      </c>
      <c r="O104" s="77">
        <v>114</v>
      </c>
      <c r="P104" s="58">
        <f t="shared" si="185"/>
        <v>18.240000000000002</v>
      </c>
      <c r="Q104" s="77">
        <v>120</v>
      </c>
      <c r="R104" s="58">
        <f t="shared" si="186"/>
        <v>19.2</v>
      </c>
      <c r="S104" s="77">
        <v>92</v>
      </c>
      <c r="T104" s="58">
        <f t="shared" si="187"/>
        <v>14.72</v>
      </c>
      <c r="U104" s="57">
        <v>101</v>
      </c>
      <c r="V104" s="58">
        <f t="shared" si="188"/>
        <v>16.16</v>
      </c>
      <c r="W104" s="77">
        <v>100</v>
      </c>
      <c r="X104" s="58">
        <f t="shared" si="189"/>
        <v>16</v>
      </c>
      <c r="Y104" s="57">
        <v>77</v>
      </c>
      <c r="Z104" s="58">
        <f t="shared" si="190"/>
        <v>12.32</v>
      </c>
      <c r="AA104" s="57">
        <v>73</v>
      </c>
      <c r="AB104" s="58">
        <f t="shared" si="191"/>
        <v>11.68</v>
      </c>
      <c r="AC104" s="57">
        <v>70</v>
      </c>
      <c r="AD104" s="58">
        <f t="shared" si="192"/>
        <v>11.200000000000001</v>
      </c>
      <c r="AE104" s="57">
        <v>68</v>
      </c>
      <c r="AF104" s="58">
        <f>PRODUCT(F104,AE104)</f>
        <v>10.88</v>
      </c>
      <c r="AG104" s="57">
        <v>75</v>
      </c>
      <c r="AH104" s="58">
        <f>PRODUCT(F104,AG104)</f>
        <v>12</v>
      </c>
      <c r="AI104" s="61">
        <v>80</v>
      </c>
      <c r="AJ104" s="58">
        <f>PRODUCT(F104,AI104)</f>
        <v>12.8</v>
      </c>
      <c r="AK104" s="61">
        <v>71</v>
      </c>
      <c r="AL104" s="58">
        <f t="shared" si="193"/>
        <v>11.36</v>
      </c>
      <c r="AM104" s="61">
        <v>87</v>
      </c>
      <c r="AN104" s="58">
        <f t="shared" si="194"/>
        <v>13.92</v>
      </c>
      <c r="AO104" s="61">
        <v>85</v>
      </c>
      <c r="AP104" s="58">
        <f t="shared" si="145"/>
        <v>13.6</v>
      </c>
      <c r="AQ104" s="61">
        <v>68</v>
      </c>
      <c r="AR104" s="58">
        <f t="shared" si="169"/>
        <v>10.88</v>
      </c>
      <c r="AS104" s="57">
        <v>100</v>
      </c>
      <c r="AT104" s="58">
        <f t="shared" si="170"/>
        <v>16</v>
      </c>
      <c r="AU104" s="57">
        <v>74</v>
      </c>
      <c r="AV104" s="58">
        <f t="shared" si="171"/>
        <v>11.84</v>
      </c>
      <c r="AW104" s="57">
        <v>83</v>
      </c>
      <c r="AX104" s="58">
        <f t="shared" si="195"/>
        <v>13.280000000000001</v>
      </c>
      <c r="AY104" s="57">
        <v>67</v>
      </c>
      <c r="AZ104" s="58">
        <f t="shared" si="173"/>
        <v>10.72</v>
      </c>
      <c r="BA104" s="57">
        <v>57</v>
      </c>
      <c r="BB104" s="58">
        <f t="shared" si="174"/>
        <v>9.120000000000001</v>
      </c>
      <c r="BC104" s="57">
        <v>23</v>
      </c>
      <c r="BD104" s="58">
        <f t="shared" si="175"/>
        <v>3.68</v>
      </c>
      <c r="BE104" s="57">
        <v>57</v>
      </c>
      <c r="BF104" s="58">
        <f t="shared" si="176"/>
        <v>9.120000000000001</v>
      </c>
      <c r="BG104" s="57">
        <v>85</v>
      </c>
      <c r="BH104" s="58">
        <f t="shared" si="177"/>
        <v>13.6</v>
      </c>
      <c r="BI104" s="57">
        <v>115</v>
      </c>
      <c r="BJ104" s="58">
        <f t="shared" si="178"/>
        <v>18.400000000000002</v>
      </c>
      <c r="BK104" s="62">
        <f t="shared" si="181"/>
        <v>42</v>
      </c>
      <c r="BL104" s="63">
        <f t="shared" si="181"/>
        <v>6.72</v>
      </c>
      <c r="BO104" s="102"/>
      <c r="BP104" s="102"/>
      <c r="BQ104" s="102"/>
      <c r="BR104" s="102" t="s">
        <v>179</v>
      </c>
      <c r="BS104" s="102" t="s">
        <v>338</v>
      </c>
      <c r="BT104" s="102" t="s">
        <v>327</v>
      </c>
      <c r="BU104" s="37" t="s">
        <v>175</v>
      </c>
      <c r="BV104" s="66">
        <f t="shared" si="156"/>
        <v>14183.065853333334</v>
      </c>
      <c r="BW104" s="66">
        <f t="shared" si="157"/>
        <v>4802.222726195806</v>
      </c>
      <c r="BX104" s="66">
        <f t="shared" si="160"/>
        <v>33.858848121100543</v>
      </c>
      <c r="BY104" s="67"/>
      <c r="BZ104" s="104">
        <v>103</v>
      </c>
      <c r="CA104" s="74" t="s">
        <v>100</v>
      </c>
      <c r="CB104" s="69">
        <f t="shared" si="161"/>
        <v>0</v>
      </c>
      <c r="CC104" s="69">
        <f t="shared" si="162"/>
        <v>0</v>
      </c>
      <c r="CD104" s="70"/>
      <c r="CE104" s="103"/>
      <c r="CF104" s="103"/>
      <c r="CG104" s="103">
        <v>103</v>
      </c>
      <c r="CH104" s="71" t="str">
        <f t="shared" si="182"/>
        <v/>
      </c>
      <c r="CI104" s="71" t="str">
        <f t="shared" si="182"/>
        <v/>
      </c>
      <c r="CJ104" s="71" t="str">
        <f t="shared" si="182"/>
        <v/>
      </c>
      <c r="CK104" s="71" t="str">
        <f t="shared" si="182"/>
        <v/>
      </c>
      <c r="CL104" s="71" t="str">
        <f t="shared" si="182"/>
        <v/>
      </c>
      <c r="CM104" s="71" t="str">
        <f t="shared" si="182"/>
        <v/>
      </c>
      <c r="CN104" s="71" t="str">
        <f t="shared" si="182"/>
        <v/>
      </c>
      <c r="CO104" s="71" t="str">
        <f t="shared" si="182"/>
        <v/>
      </c>
      <c r="CP104" s="71" t="str">
        <f t="shared" si="182"/>
        <v/>
      </c>
      <c r="CQ104" s="71" t="str">
        <f t="shared" si="182"/>
        <v/>
      </c>
      <c r="CR104" s="71"/>
      <c r="CS104" s="103">
        <v>103</v>
      </c>
      <c r="CT104" s="71" t="str">
        <f t="shared" si="183"/>
        <v/>
      </c>
      <c r="CU104" s="71" t="str">
        <f t="shared" si="183"/>
        <v/>
      </c>
      <c r="CV104" s="71" t="str">
        <f t="shared" si="183"/>
        <v/>
      </c>
      <c r="CW104" s="71" t="str">
        <f t="shared" si="183"/>
        <v/>
      </c>
      <c r="CX104" s="71" t="str">
        <f t="shared" si="183"/>
        <v/>
      </c>
      <c r="CY104" s="71" t="str">
        <f t="shared" si="183"/>
        <v/>
      </c>
      <c r="CZ104" s="71" t="str">
        <f t="shared" si="183"/>
        <v/>
      </c>
      <c r="DA104" s="71" t="str">
        <f t="shared" si="183"/>
        <v/>
      </c>
      <c r="DB104" s="71" t="str">
        <f t="shared" si="183"/>
        <v/>
      </c>
      <c r="DC104" s="72" t="str">
        <f t="shared" si="183"/>
        <v/>
      </c>
    </row>
    <row r="105" spans="1:107" x14ac:dyDescent="0.35">
      <c r="A105" s="52">
        <v>43</v>
      </c>
      <c r="B105" s="52">
        <v>104</v>
      </c>
      <c r="C105" s="52">
        <v>2</v>
      </c>
      <c r="D105" s="52">
        <v>4</v>
      </c>
      <c r="E105" s="80" t="s">
        <v>339</v>
      </c>
      <c r="F105" s="55">
        <v>0.16</v>
      </c>
      <c r="G105" s="53">
        <v>293</v>
      </c>
      <c r="H105" s="76">
        <f t="shared" si="128"/>
        <v>46.88</v>
      </c>
      <c r="I105" s="77">
        <v>107</v>
      </c>
      <c r="J105" s="58">
        <f t="shared" si="129"/>
        <v>17.12</v>
      </c>
      <c r="K105" s="57"/>
      <c r="L105" s="58">
        <f t="shared" si="130"/>
        <v>0</v>
      </c>
      <c r="M105" s="77">
        <v>222</v>
      </c>
      <c r="N105" s="58">
        <f t="shared" si="184"/>
        <v>35.520000000000003</v>
      </c>
      <c r="O105" s="77">
        <v>222</v>
      </c>
      <c r="P105" s="58">
        <f t="shared" si="185"/>
        <v>35.520000000000003</v>
      </c>
      <c r="Q105" s="77">
        <v>253</v>
      </c>
      <c r="R105" s="58">
        <f t="shared" si="186"/>
        <v>40.480000000000004</v>
      </c>
      <c r="S105" s="77">
        <v>327</v>
      </c>
      <c r="T105" s="58">
        <f t="shared" si="187"/>
        <v>52.32</v>
      </c>
      <c r="U105" s="57">
        <v>401</v>
      </c>
      <c r="V105" s="58">
        <f t="shared" si="188"/>
        <v>64.16</v>
      </c>
      <c r="W105" s="77">
        <v>484</v>
      </c>
      <c r="X105" s="58">
        <f t="shared" si="189"/>
        <v>77.44</v>
      </c>
      <c r="Y105" s="57">
        <v>375</v>
      </c>
      <c r="Z105" s="58">
        <f t="shared" si="190"/>
        <v>60</v>
      </c>
      <c r="AA105" s="57">
        <v>344</v>
      </c>
      <c r="AB105" s="58">
        <f t="shared" si="191"/>
        <v>55.04</v>
      </c>
      <c r="AC105" s="57">
        <v>315</v>
      </c>
      <c r="AD105" s="58">
        <f t="shared" si="192"/>
        <v>50.4</v>
      </c>
      <c r="AE105" s="57">
        <v>324</v>
      </c>
      <c r="AF105" s="58">
        <f>PRODUCT(F105,AE105)</f>
        <v>51.84</v>
      </c>
      <c r="AG105" s="57">
        <v>368</v>
      </c>
      <c r="AH105" s="58">
        <f>PRODUCT(F105,AG105)</f>
        <v>58.88</v>
      </c>
      <c r="AI105" s="61">
        <v>211</v>
      </c>
      <c r="AJ105" s="58">
        <f>PRODUCT(F105,AI105)</f>
        <v>33.76</v>
      </c>
      <c r="AK105" s="61">
        <v>84</v>
      </c>
      <c r="AL105" s="58">
        <f t="shared" si="193"/>
        <v>13.44</v>
      </c>
      <c r="AM105" s="61">
        <v>70</v>
      </c>
      <c r="AN105" s="58">
        <f t="shared" si="194"/>
        <v>11.200000000000001</v>
      </c>
      <c r="AO105" s="61">
        <v>84</v>
      </c>
      <c r="AP105" s="58">
        <f t="shared" si="145"/>
        <v>13.44</v>
      </c>
      <c r="AQ105" s="61">
        <v>43</v>
      </c>
      <c r="AR105" s="58">
        <f t="shared" si="169"/>
        <v>6.88</v>
      </c>
      <c r="AS105" s="57">
        <v>84</v>
      </c>
      <c r="AT105" s="58">
        <f t="shared" si="170"/>
        <v>13.44</v>
      </c>
      <c r="AU105" s="57">
        <v>50</v>
      </c>
      <c r="AV105" s="58">
        <f t="shared" si="171"/>
        <v>8</v>
      </c>
      <c r="AW105" s="57">
        <v>48</v>
      </c>
      <c r="AX105" s="58">
        <f t="shared" si="195"/>
        <v>7.68</v>
      </c>
      <c r="AY105" s="57">
        <v>57</v>
      </c>
      <c r="AZ105" s="58">
        <f t="shared" si="173"/>
        <v>9.120000000000001</v>
      </c>
      <c r="BA105" s="57">
        <v>37</v>
      </c>
      <c r="BB105" s="58">
        <f t="shared" si="174"/>
        <v>5.92</v>
      </c>
      <c r="BC105" s="57">
        <v>36</v>
      </c>
      <c r="BD105" s="58">
        <f t="shared" si="175"/>
        <v>5.76</v>
      </c>
      <c r="BE105" s="57">
        <v>48</v>
      </c>
      <c r="BF105" s="58">
        <f t="shared" si="176"/>
        <v>7.68</v>
      </c>
      <c r="BG105" s="57">
        <v>37</v>
      </c>
      <c r="BH105" s="58">
        <f t="shared" si="177"/>
        <v>5.92</v>
      </c>
      <c r="BI105" s="57">
        <v>40</v>
      </c>
      <c r="BJ105" s="58">
        <f t="shared" si="178"/>
        <v>6.4</v>
      </c>
      <c r="BK105" s="62">
        <f t="shared" si="181"/>
        <v>107</v>
      </c>
      <c r="BL105" s="63">
        <f t="shared" si="181"/>
        <v>17.12</v>
      </c>
      <c r="BO105" s="102"/>
      <c r="BP105" s="102"/>
      <c r="BQ105" s="102"/>
      <c r="BR105" s="102" t="s">
        <v>179</v>
      </c>
      <c r="BS105" s="102" t="s">
        <v>339</v>
      </c>
      <c r="BT105" s="102" t="s">
        <v>327</v>
      </c>
      <c r="BU105" s="37" t="s">
        <v>175</v>
      </c>
      <c r="BV105" s="66">
        <f t="shared" si="156"/>
        <v>6898.3783333333331</v>
      </c>
      <c r="BW105" s="66">
        <f t="shared" si="157"/>
        <v>941.42015194144369</v>
      </c>
      <c r="BX105" s="66">
        <f t="shared" si="160"/>
        <v>13.646977687385617</v>
      </c>
      <c r="BY105" s="67"/>
      <c r="BZ105" s="104">
        <v>104</v>
      </c>
      <c r="CA105" s="74" t="s">
        <v>101</v>
      </c>
      <c r="CB105" s="69">
        <f t="shared" si="161"/>
        <v>0</v>
      </c>
      <c r="CC105" s="69">
        <f t="shared" si="162"/>
        <v>0</v>
      </c>
      <c r="CD105" s="70"/>
      <c r="CE105" s="103"/>
      <c r="CF105" s="103"/>
      <c r="CG105" s="103">
        <v>104</v>
      </c>
      <c r="CH105" s="71" t="str">
        <f t="shared" si="182"/>
        <v/>
      </c>
      <c r="CI105" s="71" t="str">
        <f t="shared" si="182"/>
        <v/>
      </c>
      <c r="CJ105" s="71" t="str">
        <f t="shared" si="182"/>
        <v/>
      </c>
      <c r="CK105" s="71" t="str">
        <f t="shared" si="182"/>
        <v/>
      </c>
      <c r="CL105" s="71" t="str">
        <f t="shared" si="182"/>
        <v/>
      </c>
      <c r="CM105" s="71" t="str">
        <f t="shared" si="182"/>
        <v/>
      </c>
      <c r="CN105" s="71" t="str">
        <f t="shared" si="182"/>
        <v/>
      </c>
      <c r="CO105" s="71" t="str">
        <f t="shared" si="182"/>
        <v/>
      </c>
      <c r="CP105" s="71" t="str">
        <f t="shared" si="182"/>
        <v/>
      </c>
      <c r="CQ105" s="71" t="str">
        <f t="shared" si="182"/>
        <v/>
      </c>
      <c r="CR105" s="71"/>
      <c r="CS105" s="103">
        <v>104</v>
      </c>
      <c r="CT105" s="71" t="str">
        <f t="shared" si="183"/>
        <v/>
      </c>
      <c r="CU105" s="71" t="str">
        <f t="shared" si="183"/>
        <v/>
      </c>
      <c r="CV105" s="71" t="str">
        <f t="shared" si="183"/>
        <v/>
      </c>
      <c r="CW105" s="71" t="str">
        <f t="shared" si="183"/>
        <v/>
      </c>
      <c r="CX105" s="71" t="str">
        <f t="shared" si="183"/>
        <v/>
      </c>
      <c r="CY105" s="71" t="str">
        <f t="shared" si="183"/>
        <v/>
      </c>
      <c r="CZ105" s="71" t="str">
        <f t="shared" si="183"/>
        <v/>
      </c>
      <c r="DA105" s="71" t="str">
        <f t="shared" si="183"/>
        <v/>
      </c>
      <c r="DB105" s="71" t="str">
        <f t="shared" si="183"/>
        <v/>
      </c>
      <c r="DC105" s="72" t="str">
        <f t="shared" si="183"/>
        <v/>
      </c>
    </row>
    <row r="106" spans="1:107" x14ac:dyDescent="0.35">
      <c r="A106" s="52">
        <v>44</v>
      </c>
      <c r="B106" s="52">
        <v>105</v>
      </c>
      <c r="C106" s="52">
        <v>2</v>
      </c>
      <c r="D106" s="52">
        <v>4</v>
      </c>
      <c r="E106" s="80" t="s">
        <v>340</v>
      </c>
      <c r="F106" s="55">
        <v>0.16</v>
      </c>
      <c r="G106" s="53">
        <v>175</v>
      </c>
      <c r="H106" s="76">
        <f t="shared" si="128"/>
        <v>28</v>
      </c>
      <c r="I106" s="77">
        <v>64</v>
      </c>
      <c r="J106" s="58">
        <f t="shared" si="129"/>
        <v>10.24</v>
      </c>
      <c r="K106" s="57"/>
      <c r="L106" s="58">
        <f t="shared" si="130"/>
        <v>0</v>
      </c>
      <c r="M106" s="77">
        <v>175</v>
      </c>
      <c r="N106" s="58">
        <f t="shared" si="184"/>
        <v>28</v>
      </c>
      <c r="O106" s="77">
        <v>175</v>
      </c>
      <c r="P106" s="58">
        <f t="shared" si="185"/>
        <v>28</v>
      </c>
      <c r="Q106" s="77">
        <v>208</v>
      </c>
      <c r="R106" s="58">
        <f t="shared" si="186"/>
        <v>33.28</v>
      </c>
      <c r="S106" s="77">
        <v>228</v>
      </c>
      <c r="T106" s="58">
        <f t="shared" si="187"/>
        <v>36.480000000000004</v>
      </c>
      <c r="U106" s="57">
        <v>238</v>
      </c>
      <c r="V106" s="58">
        <f t="shared" si="188"/>
        <v>38.08</v>
      </c>
      <c r="W106" s="77">
        <v>206</v>
      </c>
      <c r="X106" s="58">
        <f t="shared" si="189"/>
        <v>32.96</v>
      </c>
      <c r="Y106" s="57">
        <v>206</v>
      </c>
      <c r="Z106" s="58">
        <f t="shared" si="190"/>
        <v>32.96</v>
      </c>
      <c r="AA106" s="57">
        <v>250</v>
      </c>
      <c r="AB106" s="58">
        <f t="shared" si="191"/>
        <v>40</v>
      </c>
      <c r="AC106" s="57">
        <v>188</v>
      </c>
      <c r="AD106" s="58">
        <f t="shared" si="192"/>
        <v>30.080000000000002</v>
      </c>
      <c r="AE106" s="57">
        <v>201</v>
      </c>
      <c r="AF106" s="58">
        <f>PRODUCT(F106,AE106)</f>
        <v>32.160000000000004</v>
      </c>
      <c r="AG106" s="57">
        <v>207</v>
      </c>
      <c r="AH106" s="58">
        <f>PRODUCT(F106,AG106)</f>
        <v>33.119999999999997</v>
      </c>
      <c r="AI106" s="61">
        <v>223</v>
      </c>
      <c r="AJ106" s="58">
        <f>PRODUCT(F106,AI106)</f>
        <v>35.68</v>
      </c>
      <c r="AK106" s="61">
        <v>120</v>
      </c>
      <c r="AL106" s="58">
        <f t="shared" si="193"/>
        <v>19.2</v>
      </c>
      <c r="AM106" s="61">
        <v>82</v>
      </c>
      <c r="AN106" s="58">
        <f t="shared" si="194"/>
        <v>13.120000000000001</v>
      </c>
      <c r="AO106" s="61">
        <v>66</v>
      </c>
      <c r="AP106" s="58">
        <f t="shared" si="145"/>
        <v>10.56</v>
      </c>
      <c r="AQ106" s="61">
        <v>64</v>
      </c>
      <c r="AR106" s="58">
        <f t="shared" si="169"/>
        <v>10.24</v>
      </c>
      <c r="AS106" s="57">
        <v>70</v>
      </c>
      <c r="AT106" s="58">
        <f t="shared" si="170"/>
        <v>11.200000000000001</v>
      </c>
      <c r="AU106" s="57">
        <v>63</v>
      </c>
      <c r="AV106" s="58">
        <f t="shared" si="171"/>
        <v>10.08</v>
      </c>
      <c r="AW106" s="57">
        <v>79</v>
      </c>
      <c r="AX106" s="58">
        <f t="shared" si="195"/>
        <v>12.64</v>
      </c>
      <c r="AY106" s="57">
        <v>84</v>
      </c>
      <c r="AZ106" s="58">
        <f t="shared" si="173"/>
        <v>13.44</v>
      </c>
      <c r="BA106" s="57">
        <v>72</v>
      </c>
      <c r="BB106" s="58">
        <f t="shared" si="174"/>
        <v>11.52</v>
      </c>
      <c r="BC106" s="57">
        <v>60</v>
      </c>
      <c r="BD106" s="58">
        <f t="shared" si="175"/>
        <v>9.6</v>
      </c>
      <c r="BE106" s="57">
        <v>71</v>
      </c>
      <c r="BF106" s="58">
        <f t="shared" si="176"/>
        <v>11.36</v>
      </c>
      <c r="BG106" s="57">
        <v>92</v>
      </c>
      <c r="BH106" s="58">
        <f t="shared" si="177"/>
        <v>14.72</v>
      </c>
      <c r="BI106" s="57">
        <v>103</v>
      </c>
      <c r="BJ106" s="58">
        <f t="shared" si="178"/>
        <v>16.48</v>
      </c>
      <c r="BK106" s="62">
        <f t="shared" si="181"/>
        <v>64</v>
      </c>
      <c r="BL106" s="63">
        <f t="shared" si="181"/>
        <v>10.24</v>
      </c>
      <c r="BO106" s="102"/>
      <c r="BP106" s="102"/>
      <c r="BQ106" s="102"/>
      <c r="BR106" s="102" t="s">
        <v>179</v>
      </c>
      <c r="BS106" s="102" t="s">
        <v>340</v>
      </c>
      <c r="BT106" s="102" t="s">
        <v>327</v>
      </c>
      <c r="BU106" s="37" t="s">
        <v>175</v>
      </c>
      <c r="BV106" s="66">
        <f t="shared" si="156"/>
        <v>14679.749093333334</v>
      </c>
      <c r="BW106" s="66">
        <f t="shared" si="157"/>
        <v>2691.7468720849793</v>
      </c>
      <c r="BX106" s="66">
        <f t="shared" si="160"/>
        <v>18.336463756777764</v>
      </c>
      <c r="BY106" s="67"/>
      <c r="BZ106" s="104">
        <v>105</v>
      </c>
      <c r="CA106" s="74" t="s">
        <v>102</v>
      </c>
      <c r="CB106" s="69">
        <f t="shared" si="161"/>
        <v>7495.5019618666665</v>
      </c>
      <c r="CC106" s="69">
        <f t="shared" si="162"/>
        <v>524.6127056421667</v>
      </c>
      <c r="CD106" s="70"/>
      <c r="CE106" s="103"/>
      <c r="CF106" s="103"/>
      <c r="CG106" s="103">
        <v>105</v>
      </c>
      <c r="CH106" s="71">
        <f t="shared" si="182"/>
        <v>7495.5019618666665</v>
      </c>
      <c r="CI106" s="71" t="str">
        <f t="shared" si="182"/>
        <v/>
      </c>
      <c r="CJ106" s="71" t="str">
        <f t="shared" si="182"/>
        <v/>
      </c>
      <c r="CK106" s="71" t="str">
        <f t="shared" si="182"/>
        <v/>
      </c>
      <c r="CL106" s="71" t="str">
        <f t="shared" si="182"/>
        <v/>
      </c>
      <c r="CM106" s="71" t="str">
        <f t="shared" si="182"/>
        <v/>
      </c>
      <c r="CN106" s="71" t="str">
        <f t="shared" si="182"/>
        <v/>
      </c>
      <c r="CO106" s="71" t="str">
        <f t="shared" si="182"/>
        <v/>
      </c>
      <c r="CP106" s="71" t="str">
        <f t="shared" si="182"/>
        <v/>
      </c>
      <c r="CQ106" s="71" t="str">
        <f t="shared" si="182"/>
        <v/>
      </c>
      <c r="CR106" s="71"/>
      <c r="CS106" s="103">
        <v>105</v>
      </c>
      <c r="CT106" s="71">
        <f t="shared" si="183"/>
        <v>275218.49092119467</v>
      </c>
      <c r="CU106" s="71" t="str">
        <f t="shared" si="183"/>
        <v/>
      </c>
      <c r="CV106" s="71" t="str">
        <f t="shared" si="183"/>
        <v/>
      </c>
      <c r="CW106" s="71" t="str">
        <f t="shared" si="183"/>
        <v/>
      </c>
      <c r="CX106" s="71" t="str">
        <f t="shared" si="183"/>
        <v/>
      </c>
      <c r="CY106" s="71" t="str">
        <f t="shared" si="183"/>
        <v/>
      </c>
      <c r="CZ106" s="71" t="str">
        <f t="shared" si="183"/>
        <v/>
      </c>
      <c r="DA106" s="71" t="str">
        <f t="shared" si="183"/>
        <v/>
      </c>
      <c r="DB106" s="71" t="str">
        <f t="shared" si="183"/>
        <v/>
      </c>
      <c r="DC106" s="72" t="str">
        <f t="shared" si="183"/>
        <v/>
      </c>
    </row>
    <row r="107" spans="1:107" x14ac:dyDescent="0.35">
      <c r="A107" s="52">
        <v>48</v>
      </c>
      <c r="B107" s="52">
        <v>106</v>
      </c>
      <c r="C107" s="52">
        <v>3</v>
      </c>
      <c r="D107" s="52">
        <v>1</v>
      </c>
      <c r="E107" s="51" t="s">
        <v>341</v>
      </c>
      <c r="F107" s="55">
        <v>0.55000000000000004</v>
      </c>
      <c r="G107" s="53">
        <v>309</v>
      </c>
      <c r="H107" s="76">
        <f t="shared" si="128"/>
        <v>169.95000000000002</v>
      </c>
      <c r="I107" s="77">
        <v>113</v>
      </c>
      <c r="J107" s="58">
        <f t="shared" si="129"/>
        <v>62.150000000000006</v>
      </c>
      <c r="K107" s="57"/>
      <c r="L107" s="58">
        <f t="shared" si="130"/>
        <v>0</v>
      </c>
      <c r="M107" s="77">
        <v>309</v>
      </c>
      <c r="N107" s="58">
        <f t="shared" si="184"/>
        <v>169.95000000000002</v>
      </c>
      <c r="O107" s="77">
        <v>309</v>
      </c>
      <c r="P107" s="58">
        <f t="shared" si="185"/>
        <v>169.95000000000002</v>
      </c>
      <c r="Q107" s="77">
        <v>309</v>
      </c>
      <c r="R107" s="58">
        <f t="shared" si="186"/>
        <v>169.95000000000002</v>
      </c>
      <c r="S107" s="77">
        <v>309</v>
      </c>
      <c r="T107" s="58">
        <f t="shared" si="187"/>
        <v>169.95000000000002</v>
      </c>
      <c r="U107" s="57">
        <v>309</v>
      </c>
      <c r="V107" s="58">
        <f t="shared" si="188"/>
        <v>169.95000000000002</v>
      </c>
      <c r="W107" s="77">
        <v>309</v>
      </c>
      <c r="X107" s="58">
        <f t="shared" si="189"/>
        <v>169.95000000000002</v>
      </c>
      <c r="Y107" s="57">
        <v>0</v>
      </c>
      <c r="Z107" s="58">
        <f t="shared" si="190"/>
        <v>0</v>
      </c>
      <c r="AA107" s="57">
        <v>0</v>
      </c>
      <c r="AB107" s="58">
        <f t="shared" si="191"/>
        <v>0</v>
      </c>
      <c r="AC107" s="57">
        <v>0</v>
      </c>
      <c r="AD107" s="58">
        <f t="shared" si="192"/>
        <v>0</v>
      </c>
      <c r="AE107" s="57">
        <v>0</v>
      </c>
      <c r="AF107" s="58">
        <v>0</v>
      </c>
      <c r="AG107" s="57">
        <v>0</v>
      </c>
      <c r="AH107" s="58">
        <v>0</v>
      </c>
      <c r="AI107" s="61">
        <v>0</v>
      </c>
      <c r="AJ107" s="58">
        <v>0</v>
      </c>
      <c r="AK107" s="61">
        <v>0</v>
      </c>
      <c r="AL107" s="58">
        <f t="shared" si="193"/>
        <v>0</v>
      </c>
      <c r="AM107" s="61">
        <v>0</v>
      </c>
      <c r="AN107" s="58">
        <f t="shared" si="194"/>
        <v>0</v>
      </c>
      <c r="AO107" s="61">
        <v>0</v>
      </c>
      <c r="AP107" s="58">
        <f t="shared" si="145"/>
        <v>0</v>
      </c>
      <c r="AQ107" s="61">
        <v>0</v>
      </c>
      <c r="AR107" s="58">
        <f t="shared" si="169"/>
        <v>0</v>
      </c>
      <c r="AS107" s="57">
        <v>0</v>
      </c>
      <c r="AT107" s="58">
        <f t="shared" si="170"/>
        <v>0</v>
      </c>
      <c r="AV107" s="58">
        <f t="shared" si="171"/>
        <v>0</v>
      </c>
      <c r="AW107" s="57">
        <v>0</v>
      </c>
      <c r="AX107" s="58">
        <f t="shared" si="195"/>
        <v>0</v>
      </c>
      <c r="AZ107" s="58">
        <f t="shared" si="173"/>
        <v>0</v>
      </c>
      <c r="BB107" s="58">
        <f t="shared" si="174"/>
        <v>0</v>
      </c>
      <c r="BD107" s="58">
        <f t="shared" si="175"/>
        <v>0</v>
      </c>
      <c r="BF107" s="58">
        <f t="shared" si="176"/>
        <v>0</v>
      </c>
      <c r="BG107" s="57">
        <v>0</v>
      </c>
      <c r="BH107" s="58">
        <f t="shared" si="177"/>
        <v>0</v>
      </c>
      <c r="BJ107" s="58">
        <f t="shared" si="178"/>
        <v>0</v>
      </c>
      <c r="BK107" s="62">
        <f t="shared" si="181"/>
        <v>113</v>
      </c>
      <c r="BL107" s="63">
        <f t="shared" si="181"/>
        <v>62.150000000000006</v>
      </c>
      <c r="BO107" s="102"/>
      <c r="BP107" s="102"/>
      <c r="BQ107" s="102"/>
      <c r="BR107" s="102"/>
      <c r="BS107" s="102"/>
      <c r="BT107" s="102"/>
      <c r="BU107" s="37" t="s">
        <v>175</v>
      </c>
      <c r="BV107" s="66" t="str">
        <f t="shared" si="156"/>
        <v/>
      </c>
      <c r="BW107" s="66" t="str">
        <f t="shared" si="157"/>
        <v/>
      </c>
      <c r="BX107" s="66" t="str">
        <f t="shared" si="160"/>
        <v/>
      </c>
      <c r="BY107" s="67"/>
      <c r="BZ107" s="104">
        <v>106</v>
      </c>
      <c r="CA107" s="74" t="s">
        <v>103</v>
      </c>
      <c r="CB107" s="69">
        <f t="shared" si="161"/>
        <v>0</v>
      </c>
      <c r="CC107" s="69">
        <f t="shared" si="162"/>
        <v>0</v>
      </c>
      <c r="CD107" s="70"/>
      <c r="CE107" s="103"/>
      <c r="CF107" s="103"/>
      <c r="CG107" s="103">
        <v>106</v>
      </c>
      <c r="CH107" s="71" t="str">
        <f t="shared" si="182"/>
        <v/>
      </c>
      <c r="CI107" s="71" t="str">
        <f t="shared" si="182"/>
        <v/>
      </c>
      <c r="CJ107" s="71" t="str">
        <f t="shared" si="182"/>
        <v/>
      </c>
      <c r="CK107" s="71" t="str">
        <f t="shared" si="182"/>
        <v/>
      </c>
      <c r="CL107" s="71" t="str">
        <f t="shared" si="182"/>
        <v/>
      </c>
      <c r="CM107" s="71" t="str">
        <f t="shared" si="182"/>
        <v/>
      </c>
      <c r="CN107" s="71" t="str">
        <f t="shared" si="182"/>
        <v/>
      </c>
      <c r="CO107" s="71" t="str">
        <f t="shared" si="182"/>
        <v/>
      </c>
      <c r="CP107" s="71" t="str">
        <f t="shared" si="182"/>
        <v/>
      </c>
      <c r="CQ107" s="71" t="str">
        <f t="shared" si="182"/>
        <v/>
      </c>
      <c r="CR107" s="71"/>
      <c r="CS107" s="103">
        <v>106</v>
      </c>
      <c r="CT107" s="71" t="str">
        <f t="shared" si="183"/>
        <v/>
      </c>
      <c r="CU107" s="71" t="str">
        <f t="shared" si="183"/>
        <v/>
      </c>
      <c r="CV107" s="71" t="str">
        <f t="shared" si="183"/>
        <v/>
      </c>
      <c r="CW107" s="71" t="str">
        <f t="shared" si="183"/>
        <v/>
      </c>
      <c r="CX107" s="71" t="str">
        <f t="shared" si="183"/>
        <v/>
      </c>
      <c r="CY107" s="71" t="str">
        <f t="shared" si="183"/>
        <v/>
      </c>
      <c r="CZ107" s="71" t="str">
        <f t="shared" si="183"/>
        <v/>
      </c>
      <c r="DA107" s="71" t="str">
        <f t="shared" si="183"/>
        <v/>
      </c>
      <c r="DB107" s="71" t="str">
        <f t="shared" si="183"/>
        <v/>
      </c>
      <c r="DC107" s="72" t="str">
        <f t="shared" si="183"/>
        <v/>
      </c>
    </row>
    <row r="108" spans="1:107" x14ac:dyDescent="0.35">
      <c r="A108" s="52">
        <v>56</v>
      </c>
      <c r="B108" s="52">
        <v>107</v>
      </c>
      <c r="C108" s="52">
        <v>4</v>
      </c>
      <c r="D108" s="52">
        <v>1</v>
      </c>
      <c r="E108" s="51" t="s">
        <v>342</v>
      </c>
      <c r="F108" s="55">
        <v>0.62</v>
      </c>
      <c r="G108" s="53">
        <v>33</v>
      </c>
      <c r="H108" s="76">
        <f t="shared" si="128"/>
        <v>20.46</v>
      </c>
      <c r="I108" s="77">
        <v>12</v>
      </c>
      <c r="J108" s="58">
        <f t="shared" si="129"/>
        <v>7.4399999999999995</v>
      </c>
      <c r="K108" s="57"/>
      <c r="L108" s="58">
        <f t="shared" si="130"/>
        <v>0</v>
      </c>
      <c r="M108" s="77">
        <v>24</v>
      </c>
      <c r="N108" s="58">
        <f t="shared" si="184"/>
        <v>14.879999999999999</v>
      </c>
      <c r="O108" s="77">
        <v>24</v>
      </c>
      <c r="P108" s="58">
        <f t="shared" si="185"/>
        <v>14.879999999999999</v>
      </c>
      <c r="Q108" s="77">
        <v>24</v>
      </c>
      <c r="R108" s="58">
        <f t="shared" si="186"/>
        <v>14.879999999999999</v>
      </c>
      <c r="S108" s="77">
        <v>38</v>
      </c>
      <c r="T108" s="58">
        <f t="shared" si="187"/>
        <v>23.56</v>
      </c>
      <c r="U108" s="57">
        <v>52</v>
      </c>
      <c r="V108" s="58">
        <f t="shared" si="188"/>
        <v>32.24</v>
      </c>
      <c r="W108" s="77">
        <v>60</v>
      </c>
      <c r="X108" s="58">
        <f t="shared" si="189"/>
        <v>37.200000000000003</v>
      </c>
      <c r="Y108" s="57">
        <v>47</v>
      </c>
      <c r="Z108" s="58">
        <f t="shared" si="190"/>
        <v>29.14</v>
      </c>
      <c r="AA108" s="57">
        <v>41</v>
      </c>
      <c r="AB108" s="58">
        <f t="shared" si="191"/>
        <v>25.419999999999998</v>
      </c>
      <c r="AC108" s="57">
        <v>45</v>
      </c>
      <c r="AD108" s="58">
        <f t="shared" si="192"/>
        <v>27.9</v>
      </c>
      <c r="AE108" s="57">
        <v>38</v>
      </c>
      <c r="AF108" s="58">
        <f t="shared" ref="AF108:AF119" si="196">PRODUCT(F108,AE108)</f>
        <v>23.56</v>
      </c>
      <c r="AG108" s="57">
        <v>40</v>
      </c>
      <c r="AH108" s="58">
        <f t="shared" ref="AH108:AH119" si="197">PRODUCT(F108,AG108)</f>
        <v>24.8</v>
      </c>
      <c r="AI108" s="61">
        <v>44</v>
      </c>
      <c r="AJ108" s="58">
        <f t="shared" ref="AJ108:AJ119" si="198">PRODUCT(F108,AI108)</f>
        <v>27.28</v>
      </c>
      <c r="AK108" s="61">
        <v>50</v>
      </c>
      <c r="AL108" s="58">
        <f t="shared" si="193"/>
        <v>31</v>
      </c>
      <c r="AM108" s="61">
        <v>57</v>
      </c>
      <c r="AN108" s="58">
        <f t="shared" si="194"/>
        <v>35.339999999999996</v>
      </c>
      <c r="AO108" s="61">
        <v>58</v>
      </c>
      <c r="AP108" s="58">
        <f t="shared" si="145"/>
        <v>35.96</v>
      </c>
      <c r="AQ108" s="61">
        <v>60</v>
      </c>
      <c r="AR108" s="58">
        <f t="shared" si="169"/>
        <v>37.200000000000003</v>
      </c>
      <c r="AS108" s="57">
        <v>52</v>
      </c>
      <c r="AT108" s="58">
        <f t="shared" si="170"/>
        <v>32.24</v>
      </c>
      <c r="AU108" s="57">
        <v>40</v>
      </c>
      <c r="AV108" s="58">
        <f t="shared" si="171"/>
        <v>24.8</v>
      </c>
      <c r="AW108" s="57">
        <v>42</v>
      </c>
      <c r="AX108" s="58">
        <f t="shared" si="195"/>
        <v>26.04</v>
      </c>
      <c r="AY108" s="57">
        <v>52</v>
      </c>
      <c r="AZ108" s="58">
        <f t="shared" si="173"/>
        <v>32.24</v>
      </c>
      <c r="BA108" s="57">
        <v>50</v>
      </c>
      <c r="BB108" s="58">
        <f t="shared" si="174"/>
        <v>31</v>
      </c>
      <c r="BC108" s="57">
        <v>48</v>
      </c>
      <c r="BD108" s="58">
        <f t="shared" si="175"/>
        <v>29.759999999999998</v>
      </c>
      <c r="BE108" s="57">
        <v>50</v>
      </c>
      <c r="BF108" s="58">
        <f t="shared" si="176"/>
        <v>31</v>
      </c>
      <c r="BG108" s="57">
        <v>56</v>
      </c>
      <c r="BH108" s="58">
        <f t="shared" si="177"/>
        <v>34.72</v>
      </c>
      <c r="BI108" s="57">
        <v>70</v>
      </c>
      <c r="BJ108" s="58">
        <f t="shared" si="178"/>
        <v>43.4</v>
      </c>
      <c r="BK108" s="62">
        <f t="shared" si="181"/>
        <v>12</v>
      </c>
      <c r="BL108" s="63">
        <f t="shared" si="181"/>
        <v>7.4399999999999995</v>
      </c>
      <c r="BO108" s="102"/>
      <c r="BP108" s="102"/>
      <c r="BQ108" s="102"/>
      <c r="BR108" s="102" t="s">
        <v>179</v>
      </c>
      <c r="BS108" s="102" t="s">
        <v>342</v>
      </c>
      <c r="BT108" s="102" t="s">
        <v>343</v>
      </c>
      <c r="BU108" s="37" t="s">
        <v>175</v>
      </c>
      <c r="BV108" s="66">
        <f t="shared" si="156"/>
        <v>9712.9166933333327</v>
      </c>
      <c r="BW108" s="66">
        <f t="shared" si="157"/>
        <v>1699.1869528887592</v>
      </c>
      <c r="BX108" s="66">
        <f t="shared" si="160"/>
        <v>17.494095816296173</v>
      </c>
      <c r="BY108" s="67"/>
      <c r="BZ108" s="104">
        <v>107</v>
      </c>
      <c r="CA108" s="74" t="s">
        <v>104</v>
      </c>
      <c r="CB108" s="69">
        <f t="shared" si="161"/>
        <v>932.29283715555539</v>
      </c>
      <c r="CC108" s="69">
        <f t="shared" si="162"/>
        <v>132.44924724268716</v>
      </c>
      <c r="CD108" s="70"/>
      <c r="CE108" s="103"/>
      <c r="CF108" s="103"/>
      <c r="CG108" s="103">
        <v>107</v>
      </c>
      <c r="CH108" s="71">
        <f t="shared" si="182"/>
        <v>932.29283715555539</v>
      </c>
      <c r="CI108" s="71" t="str">
        <f t="shared" si="182"/>
        <v/>
      </c>
      <c r="CJ108" s="71" t="str">
        <f t="shared" si="182"/>
        <v/>
      </c>
      <c r="CK108" s="71" t="str">
        <f t="shared" si="182"/>
        <v/>
      </c>
      <c r="CL108" s="71" t="str">
        <f t="shared" si="182"/>
        <v/>
      </c>
      <c r="CM108" s="71" t="str">
        <f t="shared" si="182"/>
        <v/>
      </c>
      <c r="CN108" s="71" t="str">
        <f t="shared" si="182"/>
        <v/>
      </c>
      <c r="CO108" s="71" t="str">
        <f t="shared" si="182"/>
        <v/>
      </c>
      <c r="CP108" s="71" t="str">
        <f t="shared" si="182"/>
        <v/>
      </c>
      <c r="CQ108" s="71" t="str">
        <f t="shared" si="182"/>
        <v/>
      </c>
      <c r="CR108" s="71"/>
      <c r="CS108" s="103">
        <v>107</v>
      </c>
      <c r="CT108" s="71">
        <f t="shared" si="183"/>
        <v>17542.803095154475</v>
      </c>
      <c r="CU108" s="71" t="str">
        <f t="shared" si="183"/>
        <v/>
      </c>
      <c r="CV108" s="71" t="str">
        <f t="shared" si="183"/>
        <v/>
      </c>
      <c r="CW108" s="71" t="str">
        <f t="shared" si="183"/>
        <v/>
      </c>
      <c r="CX108" s="71" t="str">
        <f t="shared" si="183"/>
        <v/>
      </c>
      <c r="CY108" s="71" t="str">
        <f t="shared" si="183"/>
        <v/>
      </c>
      <c r="CZ108" s="71" t="str">
        <f t="shared" si="183"/>
        <v/>
      </c>
      <c r="DA108" s="71" t="str">
        <f t="shared" si="183"/>
        <v/>
      </c>
      <c r="DB108" s="71" t="str">
        <f t="shared" si="183"/>
        <v/>
      </c>
      <c r="DC108" s="72" t="str">
        <f t="shared" si="183"/>
        <v/>
      </c>
    </row>
    <row r="109" spans="1:107" x14ac:dyDescent="0.35">
      <c r="A109" s="52">
        <v>58</v>
      </c>
      <c r="B109" s="52">
        <v>108</v>
      </c>
      <c r="C109" s="52">
        <v>4</v>
      </c>
      <c r="D109" s="52">
        <v>1</v>
      </c>
      <c r="E109" s="51" t="s">
        <v>344</v>
      </c>
      <c r="F109" s="55">
        <v>0.62</v>
      </c>
      <c r="G109" s="53">
        <v>54</v>
      </c>
      <c r="H109" s="76">
        <f t="shared" si="128"/>
        <v>33.479999999999997</v>
      </c>
      <c r="I109" s="77">
        <v>20</v>
      </c>
      <c r="J109" s="58">
        <f t="shared" si="129"/>
        <v>12.4</v>
      </c>
      <c r="K109" s="57"/>
      <c r="L109" s="58">
        <f t="shared" si="130"/>
        <v>0</v>
      </c>
      <c r="M109" s="77">
        <v>54</v>
      </c>
      <c r="N109" s="58">
        <f t="shared" si="184"/>
        <v>33.479999999999997</v>
      </c>
      <c r="O109" s="77">
        <v>54</v>
      </c>
      <c r="P109" s="58">
        <f t="shared" si="185"/>
        <v>33.479999999999997</v>
      </c>
      <c r="Q109" s="77">
        <v>54</v>
      </c>
      <c r="R109" s="58">
        <f t="shared" si="186"/>
        <v>33.479999999999997</v>
      </c>
      <c r="S109" s="77">
        <v>54</v>
      </c>
      <c r="T109" s="58">
        <f t="shared" si="187"/>
        <v>33.479999999999997</v>
      </c>
      <c r="U109" s="57">
        <v>54</v>
      </c>
      <c r="V109" s="58">
        <f t="shared" si="188"/>
        <v>33.479999999999997</v>
      </c>
      <c r="W109" s="77">
        <v>31</v>
      </c>
      <c r="X109" s="58">
        <f t="shared" si="189"/>
        <v>19.22</v>
      </c>
      <c r="Y109" s="57">
        <v>54</v>
      </c>
      <c r="Z109" s="58">
        <f t="shared" si="190"/>
        <v>33.479999999999997</v>
      </c>
      <c r="AA109" s="57">
        <v>54</v>
      </c>
      <c r="AB109" s="58">
        <f t="shared" si="191"/>
        <v>33.479999999999997</v>
      </c>
      <c r="AC109" s="57">
        <v>54</v>
      </c>
      <c r="AD109" s="58">
        <f t="shared" si="192"/>
        <v>33.479999999999997</v>
      </c>
      <c r="AE109" s="57">
        <v>54</v>
      </c>
      <c r="AF109" s="58">
        <f t="shared" si="196"/>
        <v>33.479999999999997</v>
      </c>
      <c r="AG109" s="57">
        <v>54</v>
      </c>
      <c r="AH109" s="58">
        <f t="shared" si="197"/>
        <v>33.479999999999997</v>
      </c>
      <c r="AI109" s="61">
        <v>54</v>
      </c>
      <c r="AJ109" s="58">
        <f t="shared" si="198"/>
        <v>33.479999999999997</v>
      </c>
      <c r="AK109" s="61">
        <v>54</v>
      </c>
      <c r="AL109" s="58">
        <f t="shared" si="193"/>
        <v>33.479999999999997</v>
      </c>
      <c r="AN109" s="58">
        <f t="shared" si="194"/>
        <v>0.62</v>
      </c>
      <c r="AP109" s="58">
        <f t="shared" si="145"/>
        <v>0</v>
      </c>
      <c r="AR109" s="58">
        <f t="shared" si="169"/>
        <v>0</v>
      </c>
      <c r="AS109" s="57">
        <v>0</v>
      </c>
      <c r="AT109" s="58">
        <f t="shared" si="170"/>
        <v>0</v>
      </c>
      <c r="AV109" s="58">
        <f t="shared" si="171"/>
        <v>0</v>
      </c>
      <c r="AW109" s="57">
        <v>0</v>
      </c>
      <c r="AX109" s="58">
        <f t="shared" si="195"/>
        <v>0</v>
      </c>
      <c r="AY109" s="57">
        <v>0</v>
      </c>
      <c r="AZ109" s="58">
        <f t="shared" si="173"/>
        <v>0</v>
      </c>
      <c r="BA109" s="57">
        <v>0</v>
      </c>
      <c r="BB109" s="58">
        <f t="shared" si="174"/>
        <v>0</v>
      </c>
      <c r="BC109" s="57">
        <v>0</v>
      </c>
      <c r="BD109" s="58">
        <f t="shared" si="175"/>
        <v>0</v>
      </c>
      <c r="BE109" s="57">
        <v>0</v>
      </c>
      <c r="BF109" s="58">
        <f t="shared" si="176"/>
        <v>0</v>
      </c>
      <c r="BG109" s="57">
        <v>0</v>
      </c>
      <c r="BH109" s="58">
        <f t="shared" si="177"/>
        <v>0</v>
      </c>
      <c r="BJ109" s="58">
        <f t="shared" si="178"/>
        <v>0</v>
      </c>
      <c r="BK109" s="62">
        <f t="shared" si="181"/>
        <v>20</v>
      </c>
      <c r="BL109" s="63">
        <f t="shared" si="181"/>
        <v>12.4</v>
      </c>
      <c r="BO109" s="102"/>
      <c r="BP109" s="102"/>
      <c r="BQ109" s="102"/>
      <c r="BR109" s="102" t="s">
        <v>179</v>
      </c>
      <c r="BS109" s="102" t="s">
        <v>345</v>
      </c>
      <c r="BT109" s="102" t="s">
        <v>346</v>
      </c>
      <c r="BU109" s="37" t="s">
        <v>175</v>
      </c>
      <c r="BV109" s="66">
        <f t="shared" si="156"/>
        <v>0</v>
      </c>
      <c r="BW109" s="66">
        <f t="shared" si="157"/>
        <v>0</v>
      </c>
      <c r="BX109" s="66" t="str">
        <f t="shared" si="160"/>
        <v/>
      </c>
      <c r="BY109" s="67"/>
      <c r="BZ109" s="104">
        <v>108</v>
      </c>
      <c r="CA109" s="74" t="s">
        <v>105</v>
      </c>
      <c r="CB109" s="69">
        <f t="shared" si="161"/>
        <v>0</v>
      </c>
      <c r="CC109" s="69">
        <f t="shared" si="162"/>
        <v>0</v>
      </c>
      <c r="CD109" s="70"/>
      <c r="CE109" s="103"/>
      <c r="CF109" s="103"/>
      <c r="CG109" s="103">
        <v>108</v>
      </c>
      <c r="CH109" s="71" t="str">
        <f t="shared" si="182"/>
        <v/>
      </c>
      <c r="CI109" s="71" t="str">
        <f t="shared" si="182"/>
        <v/>
      </c>
      <c r="CJ109" s="71" t="str">
        <f t="shared" si="182"/>
        <v/>
      </c>
      <c r="CK109" s="71" t="str">
        <f t="shared" si="182"/>
        <v/>
      </c>
      <c r="CL109" s="71" t="str">
        <f t="shared" si="182"/>
        <v/>
      </c>
      <c r="CM109" s="71" t="str">
        <f t="shared" si="182"/>
        <v/>
      </c>
      <c r="CN109" s="71" t="str">
        <f t="shared" si="182"/>
        <v/>
      </c>
      <c r="CO109" s="71" t="str">
        <f t="shared" si="182"/>
        <v/>
      </c>
      <c r="CP109" s="71" t="str">
        <f t="shared" si="182"/>
        <v/>
      </c>
      <c r="CQ109" s="71" t="str">
        <f t="shared" si="182"/>
        <v/>
      </c>
      <c r="CR109" s="71"/>
      <c r="CS109" s="103">
        <v>108</v>
      </c>
      <c r="CT109" s="71" t="str">
        <f t="shared" si="183"/>
        <v/>
      </c>
      <c r="CU109" s="71" t="str">
        <f t="shared" si="183"/>
        <v/>
      </c>
      <c r="CV109" s="71" t="str">
        <f t="shared" si="183"/>
        <v/>
      </c>
      <c r="CW109" s="71" t="str">
        <f t="shared" si="183"/>
        <v/>
      </c>
      <c r="CX109" s="71" t="str">
        <f t="shared" si="183"/>
        <v/>
      </c>
      <c r="CY109" s="71" t="str">
        <f t="shared" si="183"/>
        <v/>
      </c>
      <c r="CZ109" s="71" t="str">
        <f t="shared" si="183"/>
        <v/>
      </c>
      <c r="DA109" s="71" t="str">
        <f t="shared" si="183"/>
        <v/>
      </c>
      <c r="DB109" s="71" t="str">
        <f t="shared" si="183"/>
        <v/>
      </c>
      <c r="DC109" s="72" t="str">
        <f t="shared" si="183"/>
        <v/>
      </c>
    </row>
    <row r="110" spans="1:107" x14ac:dyDescent="0.35">
      <c r="A110" s="52">
        <v>61</v>
      </c>
      <c r="B110" s="52">
        <v>109</v>
      </c>
      <c r="C110" s="52">
        <v>4</v>
      </c>
      <c r="D110" s="52">
        <v>1</v>
      </c>
      <c r="E110" s="51" t="s">
        <v>347</v>
      </c>
      <c r="F110" s="55">
        <v>0.62</v>
      </c>
      <c r="G110" s="53">
        <v>167</v>
      </c>
      <c r="H110" s="76">
        <f t="shared" si="128"/>
        <v>103.54</v>
      </c>
      <c r="I110" s="77">
        <v>61</v>
      </c>
      <c r="J110" s="58">
        <f t="shared" si="129"/>
        <v>37.82</v>
      </c>
      <c r="K110" s="57"/>
      <c r="L110" s="58">
        <f t="shared" si="130"/>
        <v>0</v>
      </c>
      <c r="M110" s="77">
        <v>76</v>
      </c>
      <c r="N110" s="58">
        <f t="shared" si="184"/>
        <v>47.12</v>
      </c>
      <c r="O110" s="77">
        <v>100</v>
      </c>
      <c r="P110" s="58">
        <f t="shared" si="185"/>
        <v>62</v>
      </c>
      <c r="Q110" s="77">
        <v>81</v>
      </c>
      <c r="R110" s="58">
        <f t="shared" si="186"/>
        <v>50.22</v>
      </c>
      <c r="S110" s="77">
        <v>58</v>
      </c>
      <c r="T110" s="58">
        <f t="shared" si="187"/>
        <v>35.96</v>
      </c>
      <c r="U110" s="57">
        <v>67</v>
      </c>
      <c r="V110" s="58">
        <f t="shared" si="188"/>
        <v>41.54</v>
      </c>
      <c r="W110" s="77">
        <v>74</v>
      </c>
      <c r="X110" s="58">
        <f t="shared" si="189"/>
        <v>45.88</v>
      </c>
      <c r="Y110" s="57">
        <v>45</v>
      </c>
      <c r="Z110" s="58">
        <f t="shared" si="190"/>
        <v>27.9</v>
      </c>
      <c r="AA110" s="57">
        <v>55</v>
      </c>
      <c r="AB110" s="58">
        <f t="shared" si="191"/>
        <v>34.1</v>
      </c>
      <c r="AC110" s="57">
        <v>56</v>
      </c>
      <c r="AD110" s="58">
        <f t="shared" si="192"/>
        <v>34.72</v>
      </c>
      <c r="AE110" s="57">
        <v>60</v>
      </c>
      <c r="AF110" s="58">
        <f t="shared" si="196"/>
        <v>37.200000000000003</v>
      </c>
      <c r="AG110" s="57">
        <v>70</v>
      </c>
      <c r="AH110" s="58">
        <f t="shared" si="197"/>
        <v>43.4</v>
      </c>
      <c r="AI110" s="61">
        <v>66</v>
      </c>
      <c r="AJ110" s="58">
        <f t="shared" si="198"/>
        <v>40.92</v>
      </c>
      <c r="AK110" s="61">
        <v>62</v>
      </c>
      <c r="AL110" s="58">
        <f t="shared" si="193"/>
        <v>38.44</v>
      </c>
      <c r="AM110" s="61">
        <v>58</v>
      </c>
      <c r="AN110" s="58">
        <f t="shared" si="194"/>
        <v>35.96</v>
      </c>
      <c r="AO110" s="61">
        <v>69</v>
      </c>
      <c r="AP110" s="58">
        <f t="shared" si="145"/>
        <v>42.78</v>
      </c>
      <c r="AQ110" s="61">
        <v>62</v>
      </c>
      <c r="AR110" s="58">
        <f t="shared" si="169"/>
        <v>38.44</v>
      </c>
      <c r="AS110" s="57">
        <v>89</v>
      </c>
      <c r="AT110" s="58">
        <f t="shared" si="170"/>
        <v>55.18</v>
      </c>
      <c r="AU110" s="57">
        <v>41</v>
      </c>
      <c r="AV110" s="58">
        <f t="shared" si="171"/>
        <v>25.419999999999998</v>
      </c>
      <c r="AW110" s="57">
        <v>52</v>
      </c>
      <c r="AX110" s="58">
        <f t="shared" si="195"/>
        <v>32.24</v>
      </c>
      <c r="AY110" s="57">
        <v>63</v>
      </c>
      <c r="AZ110" s="58">
        <f t="shared" si="173"/>
        <v>39.06</v>
      </c>
      <c r="BA110" s="57">
        <v>53</v>
      </c>
      <c r="BB110" s="58">
        <f t="shared" si="174"/>
        <v>32.86</v>
      </c>
      <c r="BC110" s="57">
        <v>57</v>
      </c>
      <c r="BD110" s="58">
        <f t="shared" si="175"/>
        <v>35.339999999999996</v>
      </c>
      <c r="BE110" s="57">
        <v>58</v>
      </c>
      <c r="BF110" s="58">
        <f t="shared" si="176"/>
        <v>35.96</v>
      </c>
      <c r="BG110" s="57">
        <v>85</v>
      </c>
      <c r="BH110" s="58">
        <f t="shared" si="177"/>
        <v>52.7</v>
      </c>
      <c r="BI110" s="57">
        <v>65</v>
      </c>
      <c r="BJ110" s="58">
        <f t="shared" si="178"/>
        <v>40.299999999999997</v>
      </c>
      <c r="BK110" s="62">
        <f t="shared" si="181"/>
        <v>61</v>
      </c>
      <c r="BL110" s="63">
        <f t="shared" si="181"/>
        <v>37.82</v>
      </c>
      <c r="BO110" s="102"/>
      <c r="BP110" s="102"/>
      <c r="BQ110" s="102"/>
      <c r="BR110" s="102" t="s">
        <v>179</v>
      </c>
      <c r="BS110" s="102" t="s">
        <v>347</v>
      </c>
      <c r="BT110" s="102" t="s">
        <v>343</v>
      </c>
      <c r="BU110" s="37" t="s">
        <v>175</v>
      </c>
      <c r="BV110" s="66">
        <f t="shared" si="156"/>
        <v>11478.901546666666</v>
      </c>
      <c r="BW110" s="66">
        <f t="shared" si="157"/>
        <v>2319.825247954494</v>
      </c>
      <c r="BX110" s="66">
        <f t="shared" si="160"/>
        <v>20.209470727868933</v>
      </c>
      <c r="BY110" s="67"/>
      <c r="BZ110" s="104">
        <v>109</v>
      </c>
      <c r="CA110" s="74" t="s">
        <v>106</v>
      </c>
      <c r="CB110" s="69">
        <f t="shared" si="161"/>
        <v>0</v>
      </c>
      <c r="CC110" s="69">
        <f t="shared" si="162"/>
        <v>0</v>
      </c>
      <c r="CD110" s="70"/>
      <c r="CE110" s="103"/>
      <c r="CF110" s="103"/>
      <c r="CG110" s="103">
        <v>109</v>
      </c>
      <c r="CH110" s="71" t="str">
        <f t="shared" si="182"/>
        <v/>
      </c>
      <c r="CI110" s="71" t="str">
        <f t="shared" si="182"/>
        <v/>
      </c>
      <c r="CJ110" s="71" t="str">
        <f t="shared" si="182"/>
        <v/>
      </c>
      <c r="CK110" s="71" t="str">
        <f t="shared" si="182"/>
        <v/>
      </c>
      <c r="CL110" s="71" t="str">
        <f t="shared" si="182"/>
        <v/>
      </c>
      <c r="CM110" s="71" t="str">
        <f t="shared" si="182"/>
        <v/>
      </c>
      <c r="CN110" s="71" t="str">
        <f t="shared" si="182"/>
        <v/>
      </c>
      <c r="CO110" s="71" t="str">
        <f t="shared" si="182"/>
        <v/>
      </c>
      <c r="CP110" s="71" t="str">
        <f t="shared" si="182"/>
        <v/>
      </c>
      <c r="CQ110" s="71" t="str">
        <f t="shared" si="182"/>
        <v/>
      </c>
      <c r="CR110" s="71"/>
      <c r="CS110" s="103">
        <v>109</v>
      </c>
      <c r="CT110" s="71" t="str">
        <f t="shared" si="183"/>
        <v/>
      </c>
      <c r="CU110" s="71" t="str">
        <f t="shared" si="183"/>
        <v/>
      </c>
      <c r="CV110" s="71" t="str">
        <f t="shared" si="183"/>
        <v/>
      </c>
      <c r="CW110" s="71" t="str">
        <f t="shared" si="183"/>
        <v/>
      </c>
      <c r="CX110" s="71" t="str">
        <f t="shared" si="183"/>
        <v/>
      </c>
      <c r="CY110" s="71" t="str">
        <f t="shared" si="183"/>
        <v/>
      </c>
      <c r="CZ110" s="71" t="str">
        <f t="shared" si="183"/>
        <v/>
      </c>
      <c r="DA110" s="71" t="str">
        <f t="shared" si="183"/>
        <v/>
      </c>
      <c r="DB110" s="71" t="str">
        <f t="shared" si="183"/>
        <v/>
      </c>
      <c r="DC110" s="72" t="str">
        <f t="shared" si="183"/>
        <v/>
      </c>
    </row>
    <row r="111" spans="1:107" s="80" customFormat="1" x14ac:dyDescent="0.35">
      <c r="A111" s="52">
        <v>64</v>
      </c>
      <c r="B111" s="52">
        <v>110</v>
      </c>
      <c r="C111" s="52">
        <v>4</v>
      </c>
      <c r="D111" s="52" t="s">
        <v>348</v>
      </c>
      <c r="E111" s="80" t="s">
        <v>349</v>
      </c>
      <c r="F111" s="55">
        <v>0.43</v>
      </c>
      <c r="G111" s="53">
        <v>1211</v>
      </c>
      <c r="H111" s="76">
        <f t="shared" si="128"/>
        <v>520.73</v>
      </c>
      <c r="I111" s="77">
        <v>442</v>
      </c>
      <c r="J111" s="58">
        <f t="shared" si="129"/>
        <v>190.06</v>
      </c>
      <c r="K111" s="57"/>
      <c r="L111" s="58">
        <f t="shared" si="130"/>
        <v>0</v>
      </c>
      <c r="M111" s="77">
        <v>1247</v>
      </c>
      <c r="N111" s="58">
        <f t="shared" si="184"/>
        <v>536.21</v>
      </c>
      <c r="O111" s="77">
        <v>1194</v>
      </c>
      <c r="P111" s="58">
        <f t="shared" si="185"/>
        <v>513.41999999999996</v>
      </c>
      <c r="Q111" s="77">
        <v>1194</v>
      </c>
      <c r="R111" s="58">
        <f t="shared" si="186"/>
        <v>513.41999999999996</v>
      </c>
      <c r="S111" s="77">
        <v>986</v>
      </c>
      <c r="T111" s="58">
        <f t="shared" si="187"/>
        <v>423.98</v>
      </c>
      <c r="U111" s="57">
        <v>1786</v>
      </c>
      <c r="V111" s="58">
        <f t="shared" si="188"/>
        <v>767.98</v>
      </c>
      <c r="W111" s="77">
        <v>1959</v>
      </c>
      <c r="X111" s="58">
        <f t="shared" si="189"/>
        <v>842.37</v>
      </c>
      <c r="Y111" s="57">
        <v>1844</v>
      </c>
      <c r="Z111" s="58">
        <f t="shared" si="190"/>
        <v>792.92</v>
      </c>
      <c r="AA111" s="57">
        <v>1866</v>
      </c>
      <c r="AB111" s="58">
        <f t="shared" si="191"/>
        <v>802.38</v>
      </c>
      <c r="AC111" s="57">
        <v>1882</v>
      </c>
      <c r="AD111" s="58">
        <f t="shared" si="192"/>
        <v>809.26</v>
      </c>
      <c r="AE111" s="57">
        <v>1828</v>
      </c>
      <c r="AF111" s="58">
        <f t="shared" si="196"/>
        <v>786.04</v>
      </c>
      <c r="AG111" s="57">
        <v>1768</v>
      </c>
      <c r="AH111" s="58">
        <f t="shared" si="197"/>
        <v>760.24</v>
      </c>
      <c r="AI111" s="61">
        <v>2092</v>
      </c>
      <c r="AJ111" s="58">
        <f t="shared" si="198"/>
        <v>899.56</v>
      </c>
      <c r="AK111" s="73">
        <v>1778</v>
      </c>
      <c r="AL111" s="58">
        <f t="shared" si="193"/>
        <v>764.54</v>
      </c>
      <c r="AM111" s="61">
        <v>1885</v>
      </c>
      <c r="AN111" s="58">
        <f t="shared" si="194"/>
        <v>810.55</v>
      </c>
      <c r="AO111" s="61">
        <v>1974</v>
      </c>
      <c r="AP111" s="58">
        <f t="shared" si="145"/>
        <v>848.81999999999994</v>
      </c>
      <c r="AQ111" s="61">
        <v>644</v>
      </c>
      <c r="AR111" s="58">
        <f t="shared" si="169"/>
        <v>276.92</v>
      </c>
      <c r="AS111" s="57">
        <v>576</v>
      </c>
      <c r="AT111" s="58">
        <f t="shared" si="170"/>
        <v>247.68</v>
      </c>
      <c r="AU111" s="57">
        <v>462</v>
      </c>
      <c r="AV111" s="58">
        <f t="shared" si="171"/>
        <v>198.66</v>
      </c>
      <c r="AW111" s="57">
        <v>401</v>
      </c>
      <c r="AX111" s="58">
        <f t="shared" si="195"/>
        <v>172.43</v>
      </c>
      <c r="AY111" s="57">
        <v>374</v>
      </c>
      <c r="AZ111" s="58">
        <f t="shared" si="173"/>
        <v>160.82</v>
      </c>
      <c r="BA111" s="57">
        <v>339</v>
      </c>
      <c r="BB111" s="58">
        <f t="shared" si="174"/>
        <v>145.77000000000001</v>
      </c>
      <c r="BC111" s="57">
        <v>346</v>
      </c>
      <c r="BD111" s="58">
        <f t="shared" si="175"/>
        <v>148.78</v>
      </c>
      <c r="BE111" s="57">
        <v>348</v>
      </c>
      <c r="BF111" s="58">
        <f t="shared" si="176"/>
        <v>149.63999999999999</v>
      </c>
      <c r="BG111" s="57">
        <v>395</v>
      </c>
      <c r="BH111" s="58">
        <f t="shared" si="177"/>
        <v>169.85</v>
      </c>
      <c r="BI111" s="57">
        <v>355</v>
      </c>
      <c r="BJ111" s="58">
        <f t="shared" si="178"/>
        <v>152.65</v>
      </c>
      <c r="BK111" s="62">
        <f t="shared" si="181"/>
        <v>442</v>
      </c>
      <c r="BL111" s="63">
        <f t="shared" si="181"/>
        <v>190.06</v>
      </c>
      <c r="BM111" s="69"/>
      <c r="BN111" s="69"/>
      <c r="BO111" s="102"/>
      <c r="BP111" s="102"/>
      <c r="BQ111" s="102"/>
      <c r="BR111" s="102" t="s">
        <v>179</v>
      </c>
      <c r="BS111" s="102" t="s">
        <v>350</v>
      </c>
      <c r="BT111" s="102" t="s">
        <v>351</v>
      </c>
      <c r="BU111" s="37" t="s">
        <v>175</v>
      </c>
      <c r="BV111" s="66">
        <f t="shared" si="156"/>
        <v>60595.355279999996</v>
      </c>
      <c r="BW111" s="66">
        <f t="shared" si="157"/>
        <v>4198.2059249782869</v>
      </c>
      <c r="BX111" s="66">
        <f t="shared" si="160"/>
        <v>6.9282635700032609</v>
      </c>
      <c r="BY111" s="67"/>
      <c r="BZ111" s="104">
        <v>110</v>
      </c>
      <c r="CA111" s="74" t="s">
        <v>107</v>
      </c>
      <c r="CB111" s="69">
        <f t="shared" si="161"/>
        <v>0</v>
      </c>
      <c r="CC111" s="69">
        <f t="shared" si="162"/>
        <v>0</v>
      </c>
      <c r="CD111" s="70"/>
      <c r="CE111" s="103"/>
      <c r="CF111" s="103"/>
      <c r="CG111" s="103">
        <v>110</v>
      </c>
      <c r="CH111" s="71" t="str">
        <f t="shared" si="182"/>
        <v/>
      </c>
      <c r="CI111" s="71" t="str">
        <f t="shared" si="182"/>
        <v/>
      </c>
      <c r="CJ111" s="71" t="str">
        <f t="shared" si="182"/>
        <v/>
      </c>
      <c r="CK111" s="71" t="str">
        <f t="shared" si="182"/>
        <v/>
      </c>
      <c r="CL111" s="71" t="str">
        <f t="shared" si="182"/>
        <v/>
      </c>
      <c r="CM111" s="71" t="str">
        <f t="shared" si="182"/>
        <v/>
      </c>
      <c r="CN111" s="71" t="str">
        <f t="shared" si="182"/>
        <v/>
      </c>
      <c r="CO111" s="71" t="str">
        <f t="shared" si="182"/>
        <v/>
      </c>
      <c r="CP111" s="71" t="str">
        <f t="shared" si="182"/>
        <v/>
      </c>
      <c r="CQ111" s="71" t="str">
        <f t="shared" si="182"/>
        <v/>
      </c>
      <c r="CR111" s="71"/>
      <c r="CS111" s="103">
        <v>110</v>
      </c>
      <c r="CT111" s="71" t="str">
        <f t="shared" si="183"/>
        <v/>
      </c>
      <c r="CU111" s="71" t="str">
        <f t="shared" si="183"/>
        <v/>
      </c>
      <c r="CV111" s="71" t="str">
        <f t="shared" si="183"/>
        <v/>
      </c>
      <c r="CW111" s="71" t="str">
        <f t="shared" si="183"/>
        <v/>
      </c>
      <c r="CX111" s="71" t="str">
        <f t="shared" si="183"/>
        <v/>
      </c>
      <c r="CY111" s="71" t="str">
        <f t="shared" si="183"/>
        <v/>
      </c>
      <c r="CZ111" s="71" t="str">
        <f t="shared" si="183"/>
        <v/>
      </c>
      <c r="DA111" s="71" t="str">
        <f t="shared" si="183"/>
        <v/>
      </c>
      <c r="DB111" s="71" t="str">
        <f t="shared" si="183"/>
        <v/>
      </c>
      <c r="DC111" s="72" t="str">
        <f t="shared" si="183"/>
        <v/>
      </c>
    </row>
    <row r="112" spans="1:107" s="80" customFormat="1" x14ac:dyDescent="0.35">
      <c r="A112" s="52">
        <v>65</v>
      </c>
      <c r="B112" s="52">
        <v>111</v>
      </c>
      <c r="C112" s="52">
        <v>4</v>
      </c>
      <c r="D112" s="52" t="s">
        <v>348</v>
      </c>
      <c r="E112" s="80" t="s">
        <v>352</v>
      </c>
      <c r="F112" s="55">
        <v>0.43</v>
      </c>
      <c r="G112" s="53">
        <v>66</v>
      </c>
      <c r="H112" s="76">
        <f t="shared" si="128"/>
        <v>28.38</v>
      </c>
      <c r="I112" s="77">
        <v>24</v>
      </c>
      <c r="J112" s="58">
        <f t="shared" si="129"/>
        <v>10.32</v>
      </c>
      <c r="K112" s="57"/>
      <c r="L112" s="58">
        <f t="shared" si="130"/>
        <v>0</v>
      </c>
      <c r="M112" s="77">
        <v>65</v>
      </c>
      <c r="N112" s="58">
        <f t="shared" si="184"/>
        <v>27.95</v>
      </c>
      <c r="O112" s="77">
        <v>60</v>
      </c>
      <c r="P112" s="58">
        <f t="shared" si="185"/>
        <v>25.8</v>
      </c>
      <c r="Q112" s="77">
        <v>62</v>
      </c>
      <c r="R112" s="58">
        <f t="shared" si="186"/>
        <v>26.66</v>
      </c>
      <c r="S112" s="77">
        <v>88</v>
      </c>
      <c r="T112" s="58">
        <f t="shared" si="187"/>
        <v>37.839999999999996</v>
      </c>
      <c r="U112" s="57">
        <v>53</v>
      </c>
      <c r="V112" s="58">
        <f t="shared" si="188"/>
        <v>22.79</v>
      </c>
      <c r="W112" s="77">
        <v>80</v>
      </c>
      <c r="X112" s="58">
        <f t="shared" si="189"/>
        <v>34.4</v>
      </c>
      <c r="Y112" s="57">
        <v>123</v>
      </c>
      <c r="Z112" s="58">
        <f t="shared" si="190"/>
        <v>52.89</v>
      </c>
      <c r="AA112" s="57">
        <v>76</v>
      </c>
      <c r="AB112" s="58">
        <f t="shared" si="191"/>
        <v>32.68</v>
      </c>
      <c r="AC112" s="57">
        <v>52</v>
      </c>
      <c r="AD112" s="58">
        <f t="shared" si="192"/>
        <v>22.36</v>
      </c>
      <c r="AE112" s="57">
        <v>56</v>
      </c>
      <c r="AF112" s="58">
        <f t="shared" si="196"/>
        <v>24.08</v>
      </c>
      <c r="AG112" s="57">
        <v>90</v>
      </c>
      <c r="AH112" s="58">
        <f t="shared" si="197"/>
        <v>38.700000000000003</v>
      </c>
      <c r="AI112" s="61">
        <v>86</v>
      </c>
      <c r="AJ112" s="58">
        <f t="shared" si="198"/>
        <v>36.979999999999997</v>
      </c>
      <c r="AK112" s="73">
        <v>88</v>
      </c>
      <c r="AL112" s="58">
        <f t="shared" si="193"/>
        <v>37.839999999999996</v>
      </c>
      <c r="AM112" s="61">
        <v>103</v>
      </c>
      <c r="AN112" s="58">
        <f t="shared" si="194"/>
        <v>44.29</v>
      </c>
      <c r="AO112" s="61">
        <v>109</v>
      </c>
      <c r="AP112" s="58">
        <f t="shared" si="145"/>
        <v>46.87</v>
      </c>
      <c r="AQ112" s="61">
        <v>135</v>
      </c>
      <c r="AR112" s="58">
        <f t="shared" si="169"/>
        <v>58.05</v>
      </c>
      <c r="AS112" s="57">
        <v>117</v>
      </c>
      <c r="AT112" s="58">
        <f t="shared" si="170"/>
        <v>50.31</v>
      </c>
      <c r="AU112" s="57">
        <v>48</v>
      </c>
      <c r="AV112" s="58">
        <f t="shared" si="171"/>
        <v>20.64</v>
      </c>
      <c r="AW112" s="57">
        <v>27</v>
      </c>
      <c r="AX112" s="58">
        <f t="shared" si="195"/>
        <v>11.61</v>
      </c>
      <c r="AY112" s="57">
        <v>25</v>
      </c>
      <c r="AZ112" s="58">
        <f t="shared" si="173"/>
        <v>10.75</v>
      </c>
      <c r="BA112" s="57">
        <v>24</v>
      </c>
      <c r="BB112" s="58">
        <f t="shared" si="174"/>
        <v>10.32</v>
      </c>
      <c r="BC112" s="57">
        <v>23</v>
      </c>
      <c r="BD112" s="58">
        <f t="shared" si="175"/>
        <v>9.89</v>
      </c>
      <c r="BE112" s="57">
        <v>38</v>
      </c>
      <c r="BF112" s="58">
        <f t="shared" si="176"/>
        <v>16.34</v>
      </c>
      <c r="BG112" s="57">
        <v>26</v>
      </c>
      <c r="BH112" s="58">
        <f t="shared" si="177"/>
        <v>11.18</v>
      </c>
      <c r="BI112" s="57">
        <v>25</v>
      </c>
      <c r="BJ112" s="58">
        <f t="shared" si="178"/>
        <v>10.75</v>
      </c>
      <c r="BK112" s="62">
        <f t="shared" si="181"/>
        <v>24</v>
      </c>
      <c r="BL112" s="63">
        <f t="shared" si="181"/>
        <v>10.32</v>
      </c>
      <c r="BM112" s="69"/>
      <c r="BN112" s="69"/>
      <c r="BO112" s="101"/>
      <c r="BP112" s="101"/>
      <c r="BQ112" s="101"/>
      <c r="BR112" s="102" t="s">
        <v>179</v>
      </c>
      <c r="BS112" s="102" t="s">
        <v>352</v>
      </c>
      <c r="BT112" s="102" t="s">
        <v>225</v>
      </c>
      <c r="BU112" s="37" t="s">
        <v>175</v>
      </c>
      <c r="BV112" s="66">
        <f t="shared" si="156"/>
        <v>4911.6453733333337</v>
      </c>
      <c r="BW112" s="66">
        <f t="shared" si="157"/>
        <v>1197.6983454512963</v>
      </c>
      <c r="BX112" s="66">
        <f t="shared" si="160"/>
        <v>24.384870128326614</v>
      </c>
      <c r="BY112" s="67"/>
      <c r="BZ112" s="104">
        <v>111</v>
      </c>
      <c r="CA112" s="105" t="s">
        <v>108</v>
      </c>
      <c r="CB112" s="69">
        <f t="shared" si="161"/>
        <v>0</v>
      </c>
      <c r="CC112" s="69">
        <f t="shared" si="162"/>
        <v>0</v>
      </c>
      <c r="CD112" s="70"/>
      <c r="CE112" s="103"/>
      <c r="CF112" s="103"/>
      <c r="CG112" s="103">
        <v>111</v>
      </c>
      <c r="CH112" s="71" t="str">
        <f t="shared" si="182"/>
        <v/>
      </c>
      <c r="CI112" s="71" t="str">
        <f t="shared" si="182"/>
        <v/>
      </c>
      <c r="CJ112" s="71" t="str">
        <f t="shared" si="182"/>
        <v/>
      </c>
      <c r="CK112" s="71" t="str">
        <f t="shared" si="182"/>
        <v/>
      </c>
      <c r="CL112" s="71" t="str">
        <f t="shared" si="182"/>
        <v/>
      </c>
      <c r="CM112" s="71" t="str">
        <f t="shared" si="182"/>
        <v/>
      </c>
      <c r="CN112" s="71" t="str">
        <f t="shared" si="182"/>
        <v/>
      </c>
      <c r="CO112" s="71" t="str">
        <f t="shared" si="182"/>
        <v/>
      </c>
      <c r="CP112" s="71" t="str">
        <f t="shared" si="182"/>
        <v/>
      </c>
      <c r="CQ112" s="71" t="str">
        <f t="shared" si="182"/>
        <v/>
      </c>
      <c r="CR112" s="71"/>
      <c r="CS112" s="103">
        <v>111</v>
      </c>
      <c r="CT112" s="71" t="str">
        <f t="shared" si="183"/>
        <v/>
      </c>
      <c r="CU112" s="71" t="str">
        <f t="shared" si="183"/>
        <v/>
      </c>
      <c r="CV112" s="71" t="str">
        <f t="shared" si="183"/>
        <v/>
      </c>
      <c r="CW112" s="71" t="str">
        <f t="shared" si="183"/>
        <v/>
      </c>
      <c r="CX112" s="71" t="str">
        <f t="shared" si="183"/>
        <v/>
      </c>
      <c r="CY112" s="71" t="str">
        <f t="shared" si="183"/>
        <v/>
      </c>
      <c r="CZ112" s="71" t="str">
        <f t="shared" si="183"/>
        <v/>
      </c>
      <c r="DA112" s="71" t="str">
        <f t="shared" si="183"/>
        <v/>
      </c>
      <c r="DB112" s="71" t="str">
        <f t="shared" si="183"/>
        <v/>
      </c>
      <c r="DC112" s="72" t="str">
        <f t="shared" si="183"/>
        <v/>
      </c>
    </row>
    <row r="113" spans="1:107" s="80" customFormat="1" x14ac:dyDescent="0.35">
      <c r="A113" s="52">
        <v>66</v>
      </c>
      <c r="B113" s="52">
        <v>112</v>
      </c>
      <c r="C113" s="52">
        <v>4</v>
      </c>
      <c r="D113" s="52" t="s">
        <v>348</v>
      </c>
      <c r="E113" s="80" t="s">
        <v>353</v>
      </c>
      <c r="F113" s="55">
        <v>0.43</v>
      </c>
      <c r="G113" s="53">
        <v>115</v>
      </c>
      <c r="H113" s="76">
        <f t="shared" si="128"/>
        <v>49.449999999999996</v>
      </c>
      <c r="I113" s="77">
        <v>42</v>
      </c>
      <c r="J113" s="58">
        <f t="shared" si="129"/>
        <v>18.059999999999999</v>
      </c>
      <c r="K113" s="57"/>
      <c r="L113" s="58">
        <f t="shared" si="130"/>
        <v>0</v>
      </c>
      <c r="M113" s="77">
        <v>33</v>
      </c>
      <c r="N113" s="58">
        <f t="shared" si="184"/>
        <v>14.19</v>
      </c>
      <c r="O113" s="77">
        <v>33</v>
      </c>
      <c r="P113" s="58">
        <f t="shared" si="185"/>
        <v>14.19</v>
      </c>
      <c r="Q113" s="77">
        <v>47</v>
      </c>
      <c r="R113" s="58">
        <f t="shared" si="186"/>
        <v>20.21</v>
      </c>
      <c r="S113" s="77">
        <v>18</v>
      </c>
      <c r="T113" s="58">
        <f t="shared" si="187"/>
        <v>7.74</v>
      </c>
      <c r="U113" s="57">
        <v>26</v>
      </c>
      <c r="V113" s="58">
        <f t="shared" si="188"/>
        <v>11.18</v>
      </c>
      <c r="W113" s="77">
        <v>15</v>
      </c>
      <c r="X113" s="58">
        <f t="shared" si="189"/>
        <v>6.45</v>
      </c>
      <c r="Y113" s="57">
        <v>22</v>
      </c>
      <c r="Z113" s="58">
        <f t="shared" si="190"/>
        <v>9.4599999999999991</v>
      </c>
      <c r="AA113" s="57">
        <v>34</v>
      </c>
      <c r="AB113" s="58">
        <f t="shared" si="191"/>
        <v>14.62</v>
      </c>
      <c r="AC113" s="57">
        <v>50</v>
      </c>
      <c r="AD113" s="58">
        <f t="shared" si="192"/>
        <v>21.5</v>
      </c>
      <c r="AE113" s="57">
        <v>33</v>
      </c>
      <c r="AF113" s="58">
        <f t="shared" si="196"/>
        <v>14.19</v>
      </c>
      <c r="AG113" s="57">
        <v>24</v>
      </c>
      <c r="AH113" s="58">
        <f t="shared" si="197"/>
        <v>10.32</v>
      </c>
      <c r="AI113" s="61">
        <v>36</v>
      </c>
      <c r="AJ113" s="58">
        <f t="shared" si="198"/>
        <v>15.48</v>
      </c>
      <c r="AK113" s="73">
        <v>26</v>
      </c>
      <c r="AL113" s="58">
        <f t="shared" si="193"/>
        <v>11.18</v>
      </c>
      <c r="AM113" s="61">
        <v>19</v>
      </c>
      <c r="AN113" s="58">
        <f t="shared" si="194"/>
        <v>8.17</v>
      </c>
      <c r="AO113" s="61">
        <v>18</v>
      </c>
      <c r="AP113" s="58">
        <f t="shared" si="145"/>
        <v>7.74</v>
      </c>
      <c r="AQ113" s="61">
        <v>21</v>
      </c>
      <c r="AR113" s="58">
        <f t="shared" si="169"/>
        <v>9.0299999999999994</v>
      </c>
      <c r="AS113" s="57">
        <v>20</v>
      </c>
      <c r="AT113" s="58">
        <f t="shared" si="170"/>
        <v>8.6</v>
      </c>
      <c r="AU113" s="57">
        <v>18</v>
      </c>
      <c r="AV113" s="58">
        <f t="shared" si="171"/>
        <v>7.74</v>
      </c>
      <c r="AW113" s="57">
        <v>15</v>
      </c>
      <c r="AX113" s="58">
        <f t="shared" si="195"/>
        <v>6.45</v>
      </c>
      <c r="AY113" s="57">
        <v>13</v>
      </c>
      <c r="AZ113" s="58">
        <f t="shared" si="173"/>
        <v>5.59</v>
      </c>
      <c r="BA113" s="57">
        <v>15</v>
      </c>
      <c r="BB113" s="58">
        <f t="shared" si="174"/>
        <v>6.45</v>
      </c>
      <c r="BC113" s="57">
        <v>13</v>
      </c>
      <c r="BD113" s="58">
        <f t="shared" si="175"/>
        <v>5.59</v>
      </c>
      <c r="BE113" s="57">
        <v>13</v>
      </c>
      <c r="BF113" s="58">
        <f t="shared" si="176"/>
        <v>5.59</v>
      </c>
      <c r="BG113" s="57">
        <v>17</v>
      </c>
      <c r="BH113" s="58">
        <f t="shared" si="177"/>
        <v>7.31</v>
      </c>
      <c r="BI113" s="57">
        <v>16</v>
      </c>
      <c r="BJ113" s="58">
        <f t="shared" si="178"/>
        <v>6.88</v>
      </c>
      <c r="BK113" s="62">
        <f t="shared" si="181"/>
        <v>42</v>
      </c>
      <c r="BL113" s="63">
        <f t="shared" si="181"/>
        <v>18.059999999999999</v>
      </c>
      <c r="BM113" s="69"/>
      <c r="BN113" s="69"/>
      <c r="BO113" s="101"/>
      <c r="BP113" s="101"/>
      <c r="BQ113" s="101"/>
      <c r="BR113" s="102" t="s">
        <v>179</v>
      </c>
      <c r="BS113" s="102" t="s">
        <v>353</v>
      </c>
      <c r="BT113" s="102" t="s">
        <v>354</v>
      </c>
      <c r="BU113" s="37" t="s">
        <v>175</v>
      </c>
      <c r="BV113" s="66">
        <f t="shared" si="156"/>
        <v>2538.6032266666666</v>
      </c>
      <c r="BW113" s="66">
        <f t="shared" si="157"/>
        <v>344.6428710708916</v>
      </c>
      <c r="BX113" s="66">
        <f t="shared" si="160"/>
        <v>13.57608260521388</v>
      </c>
      <c r="BY113" s="67"/>
      <c r="BZ113" s="104">
        <v>112</v>
      </c>
      <c r="CA113" s="74" t="s">
        <v>109</v>
      </c>
      <c r="CB113" s="69">
        <f t="shared" si="161"/>
        <v>0</v>
      </c>
      <c r="CC113" s="69">
        <f t="shared" si="162"/>
        <v>0</v>
      </c>
      <c r="CD113" s="70"/>
      <c r="CE113" s="103"/>
      <c r="CF113" s="103"/>
      <c r="CG113" s="103">
        <v>112</v>
      </c>
      <c r="CH113" s="71" t="str">
        <f t="shared" si="182"/>
        <v/>
      </c>
      <c r="CI113" s="71" t="str">
        <f t="shared" si="182"/>
        <v/>
      </c>
      <c r="CJ113" s="71" t="str">
        <f t="shared" si="182"/>
        <v/>
      </c>
      <c r="CK113" s="71" t="str">
        <f t="shared" si="182"/>
        <v/>
      </c>
      <c r="CL113" s="71" t="str">
        <f t="shared" si="182"/>
        <v/>
      </c>
      <c r="CM113" s="71" t="str">
        <f t="shared" si="182"/>
        <v/>
      </c>
      <c r="CN113" s="71" t="str">
        <f t="shared" si="182"/>
        <v/>
      </c>
      <c r="CO113" s="71" t="str">
        <f t="shared" si="182"/>
        <v/>
      </c>
      <c r="CP113" s="71" t="str">
        <f t="shared" si="182"/>
        <v/>
      </c>
      <c r="CQ113" s="71" t="str">
        <f t="shared" si="182"/>
        <v/>
      </c>
      <c r="CR113" s="71"/>
      <c r="CS113" s="103">
        <v>112</v>
      </c>
      <c r="CT113" s="71" t="str">
        <f t="shared" si="183"/>
        <v/>
      </c>
      <c r="CU113" s="71" t="str">
        <f t="shared" si="183"/>
        <v/>
      </c>
      <c r="CV113" s="71" t="str">
        <f t="shared" si="183"/>
        <v/>
      </c>
      <c r="CW113" s="71" t="str">
        <f t="shared" si="183"/>
        <v/>
      </c>
      <c r="CX113" s="71" t="str">
        <f t="shared" si="183"/>
        <v/>
      </c>
      <c r="CY113" s="71" t="str">
        <f t="shared" si="183"/>
        <v/>
      </c>
      <c r="CZ113" s="71" t="str">
        <f t="shared" si="183"/>
        <v/>
      </c>
      <c r="DA113" s="71" t="str">
        <f t="shared" si="183"/>
        <v/>
      </c>
      <c r="DB113" s="71" t="str">
        <f t="shared" si="183"/>
        <v/>
      </c>
      <c r="DC113" s="72" t="str">
        <f t="shared" si="183"/>
        <v/>
      </c>
    </row>
    <row r="114" spans="1:107" x14ac:dyDescent="0.35">
      <c r="A114" s="52">
        <v>67</v>
      </c>
      <c r="B114" s="52">
        <v>113</v>
      </c>
      <c r="C114" s="52">
        <v>4</v>
      </c>
      <c r="D114" s="52" t="s">
        <v>348</v>
      </c>
      <c r="E114" s="80" t="s">
        <v>355</v>
      </c>
      <c r="F114" s="55">
        <v>0.43</v>
      </c>
      <c r="G114" s="53">
        <v>41</v>
      </c>
      <c r="H114" s="76">
        <f t="shared" si="128"/>
        <v>17.63</v>
      </c>
      <c r="I114" s="77">
        <v>15</v>
      </c>
      <c r="J114" s="58">
        <f t="shared" si="129"/>
        <v>6.45</v>
      </c>
      <c r="K114" s="57"/>
      <c r="L114" s="58">
        <f t="shared" si="130"/>
        <v>0</v>
      </c>
      <c r="M114" s="77">
        <v>41</v>
      </c>
      <c r="N114" s="58">
        <f t="shared" si="184"/>
        <v>17.63</v>
      </c>
      <c r="O114" s="77">
        <v>41</v>
      </c>
      <c r="P114" s="58">
        <f t="shared" si="185"/>
        <v>17.63</v>
      </c>
      <c r="Q114" s="77">
        <v>41</v>
      </c>
      <c r="R114" s="58">
        <f t="shared" si="186"/>
        <v>17.63</v>
      </c>
      <c r="S114" s="77">
        <v>41</v>
      </c>
      <c r="T114" s="58">
        <f t="shared" si="187"/>
        <v>17.63</v>
      </c>
      <c r="U114" s="57">
        <v>41</v>
      </c>
      <c r="V114" s="58">
        <f t="shared" si="188"/>
        <v>17.63</v>
      </c>
      <c r="W114" s="77">
        <v>41</v>
      </c>
      <c r="X114" s="58">
        <f t="shared" si="189"/>
        <v>17.63</v>
      </c>
      <c r="Y114" s="57">
        <v>14</v>
      </c>
      <c r="Z114" s="58">
        <f t="shared" si="190"/>
        <v>6.02</v>
      </c>
      <c r="AA114" s="57">
        <v>17</v>
      </c>
      <c r="AB114" s="58">
        <f t="shared" si="191"/>
        <v>7.31</v>
      </c>
      <c r="AC114" s="57">
        <v>18</v>
      </c>
      <c r="AD114" s="58">
        <f t="shared" si="192"/>
        <v>7.74</v>
      </c>
      <c r="AE114" s="57">
        <v>16</v>
      </c>
      <c r="AF114" s="58">
        <f t="shared" si="196"/>
        <v>6.88</v>
      </c>
      <c r="AG114" s="57">
        <v>14</v>
      </c>
      <c r="AH114" s="58">
        <f t="shared" si="197"/>
        <v>6.02</v>
      </c>
      <c r="AI114" s="61">
        <v>10</v>
      </c>
      <c r="AJ114" s="58">
        <f t="shared" si="198"/>
        <v>4.3</v>
      </c>
      <c r="AK114" s="61">
        <v>7</v>
      </c>
      <c r="AL114" s="58">
        <f t="shared" si="193"/>
        <v>3.01</v>
      </c>
      <c r="AM114" s="61">
        <v>8</v>
      </c>
      <c r="AN114" s="58">
        <f t="shared" si="194"/>
        <v>3.44</v>
      </c>
      <c r="AO114" s="61">
        <v>4</v>
      </c>
      <c r="AP114" s="58">
        <f t="shared" si="145"/>
        <v>1.72</v>
      </c>
      <c r="AQ114" s="61">
        <v>7</v>
      </c>
      <c r="AR114" s="58">
        <f t="shared" si="169"/>
        <v>3.01</v>
      </c>
      <c r="AS114" s="57">
        <v>9</v>
      </c>
      <c r="AT114" s="58">
        <f t="shared" si="170"/>
        <v>3.87</v>
      </c>
      <c r="AU114" s="57">
        <v>3</v>
      </c>
      <c r="AV114" s="58">
        <f t="shared" si="171"/>
        <v>1.29</v>
      </c>
      <c r="AW114" s="57">
        <v>3</v>
      </c>
      <c r="AX114" s="58">
        <f t="shared" si="195"/>
        <v>1.29</v>
      </c>
      <c r="AZ114" s="58">
        <f t="shared" si="173"/>
        <v>0</v>
      </c>
      <c r="BB114" s="58">
        <f t="shared" si="174"/>
        <v>0</v>
      </c>
      <c r="BC114" s="57">
        <v>0</v>
      </c>
      <c r="BD114" s="58">
        <f t="shared" si="175"/>
        <v>0</v>
      </c>
      <c r="BE114" s="57">
        <v>0</v>
      </c>
      <c r="BF114" s="58">
        <f t="shared" si="176"/>
        <v>0</v>
      </c>
      <c r="BG114" s="57">
        <v>0</v>
      </c>
      <c r="BH114" s="58">
        <f t="shared" si="177"/>
        <v>0</v>
      </c>
      <c r="BJ114" s="58">
        <f t="shared" si="178"/>
        <v>0</v>
      </c>
      <c r="BK114" s="62">
        <f t="shared" si="181"/>
        <v>15</v>
      </c>
      <c r="BL114" s="63">
        <f t="shared" si="181"/>
        <v>6.45</v>
      </c>
      <c r="BO114" s="101"/>
      <c r="BP114" s="101"/>
      <c r="BQ114" s="101"/>
      <c r="BR114" s="102" t="s">
        <v>179</v>
      </c>
      <c r="BS114" s="102" t="s">
        <v>355</v>
      </c>
      <c r="BT114" s="102" t="s">
        <v>356</v>
      </c>
      <c r="BU114" s="37" t="s">
        <v>175</v>
      </c>
      <c r="BV114" s="66">
        <f t="shared" si="156"/>
        <v>0</v>
      </c>
      <c r="BW114" s="66">
        <f t="shared" si="157"/>
        <v>0</v>
      </c>
      <c r="BX114" s="66" t="str">
        <f t="shared" si="160"/>
        <v/>
      </c>
      <c r="BY114" s="67"/>
      <c r="BZ114" s="104">
        <v>113</v>
      </c>
      <c r="CA114" s="74" t="s">
        <v>110</v>
      </c>
      <c r="CB114" s="69">
        <f t="shared" si="161"/>
        <v>9779.6929955999949</v>
      </c>
      <c r="CC114" s="69">
        <f t="shared" si="162"/>
        <v>767.07399569700715</v>
      </c>
      <c r="CD114" s="70"/>
      <c r="CE114" s="103"/>
      <c r="CF114" s="103"/>
      <c r="CG114" s="103">
        <v>113</v>
      </c>
      <c r="CH114" s="71">
        <f t="shared" ref="CH114:CQ122" si="199">IF(LOOKUP($CG114+CH$1/100,$BQ$2:$BQ$76,$BQ$2:$BQ$76)=  $CG114+CH$1/100,             LOOKUP($CG114+CH$1/100,$BQ$2:$BQ$76,$BV$2:$BV$76), "")</f>
        <v>6178.0036785777756</v>
      </c>
      <c r="CI114" s="71">
        <f t="shared" si="199"/>
        <v>3601.6893170222197</v>
      </c>
      <c r="CJ114" s="71" t="str">
        <f t="shared" si="199"/>
        <v/>
      </c>
      <c r="CK114" s="71" t="str">
        <f t="shared" si="199"/>
        <v/>
      </c>
      <c r="CL114" s="71" t="str">
        <f t="shared" si="199"/>
        <v/>
      </c>
      <c r="CM114" s="71" t="str">
        <f t="shared" si="199"/>
        <v/>
      </c>
      <c r="CN114" s="71" t="str">
        <f t="shared" si="199"/>
        <v/>
      </c>
      <c r="CO114" s="71" t="str">
        <f t="shared" si="199"/>
        <v/>
      </c>
      <c r="CP114" s="71" t="str">
        <f t="shared" si="199"/>
        <v/>
      </c>
      <c r="CQ114" s="71" t="str">
        <f t="shared" si="199"/>
        <v/>
      </c>
      <c r="CR114" s="71"/>
      <c r="CS114" s="103">
        <v>113</v>
      </c>
      <c r="CT114" s="71">
        <f t="shared" ref="CT114:DC122" si="200">IF(LOOKUP($CS114+CT$1/100,$BQ$2:$BQ$76,$BQ$2:$BQ$76)=  $CS114+CT$1/100,             LOOKUP($CS114+CT$1/100,$BQ$2:$BQ$76,$BW$2:$BW$76)^2, "")</f>
        <v>462793.5483299818</v>
      </c>
      <c r="CU114" s="71">
        <f t="shared" si="200"/>
        <v>125608.9665445904</v>
      </c>
      <c r="CV114" s="71" t="str">
        <f t="shared" si="200"/>
        <v/>
      </c>
      <c r="CW114" s="71" t="str">
        <f t="shared" si="200"/>
        <v/>
      </c>
      <c r="CX114" s="71" t="str">
        <f t="shared" si="200"/>
        <v/>
      </c>
      <c r="CY114" s="71" t="str">
        <f t="shared" si="200"/>
        <v/>
      </c>
      <c r="CZ114" s="71" t="str">
        <f t="shared" si="200"/>
        <v/>
      </c>
      <c r="DA114" s="71" t="str">
        <f t="shared" si="200"/>
        <v/>
      </c>
      <c r="DB114" s="71" t="str">
        <f t="shared" si="200"/>
        <v/>
      </c>
      <c r="DC114" s="72" t="str">
        <f t="shared" si="200"/>
        <v/>
      </c>
    </row>
    <row r="115" spans="1:107" x14ac:dyDescent="0.35">
      <c r="A115" s="52">
        <v>68</v>
      </c>
      <c r="B115" s="52">
        <v>114</v>
      </c>
      <c r="C115" s="52">
        <v>4</v>
      </c>
      <c r="D115" s="52" t="s">
        <v>357</v>
      </c>
      <c r="E115" s="80" t="s">
        <v>358</v>
      </c>
      <c r="F115" s="55">
        <v>0.56000000000000005</v>
      </c>
      <c r="G115" s="53">
        <v>675</v>
      </c>
      <c r="H115" s="76">
        <f t="shared" si="128"/>
        <v>378.00000000000006</v>
      </c>
      <c r="I115" s="77">
        <v>246</v>
      </c>
      <c r="J115" s="58">
        <f t="shared" si="129"/>
        <v>137.76000000000002</v>
      </c>
      <c r="K115" s="57"/>
      <c r="L115" s="58">
        <f t="shared" si="130"/>
        <v>0</v>
      </c>
      <c r="M115" s="77">
        <v>542</v>
      </c>
      <c r="N115" s="58">
        <f t="shared" si="184"/>
        <v>303.52000000000004</v>
      </c>
      <c r="O115" s="77">
        <v>711</v>
      </c>
      <c r="P115" s="58">
        <f t="shared" si="185"/>
        <v>398.16</v>
      </c>
      <c r="Q115" s="77">
        <v>555</v>
      </c>
      <c r="R115" s="58">
        <f t="shared" si="186"/>
        <v>310.8</v>
      </c>
      <c r="S115" s="77">
        <v>694</v>
      </c>
      <c r="T115" s="58">
        <f t="shared" si="187"/>
        <v>388.64000000000004</v>
      </c>
      <c r="U115" s="57">
        <v>392</v>
      </c>
      <c r="V115" s="58">
        <f t="shared" si="188"/>
        <v>219.52</v>
      </c>
      <c r="W115" s="77">
        <v>421</v>
      </c>
      <c r="X115" s="58">
        <f t="shared" si="189"/>
        <v>235.76000000000002</v>
      </c>
      <c r="Y115" s="57">
        <v>458</v>
      </c>
      <c r="Z115" s="58">
        <f t="shared" si="190"/>
        <v>256.48</v>
      </c>
      <c r="AA115" s="57">
        <v>479</v>
      </c>
      <c r="AB115" s="58">
        <f t="shared" si="191"/>
        <v>268.24</v>
      </c>
      <c r="AC115" s="57">
        <v>435</v>
      </c>
      <c r="AD115" s="58">
        <f t="shared" si="192"/>
        <v>243.60000000000002</v>
      </c>
      <c r="AE115" s="57">
        <v>231</v>
      </c>
      <c r="AF115" s="58">
        <f t="shared" si="196"/>
        <v>129.36000000000001</v>
      </c>
      <c r="AG115" s="57">
        <v>276</v>
      </c>
      <c r="AH115" s="58">
        <f t="shared" si="197"/>
        <v>154.56</v>
      </c>
      <c r="AI115" s="61">
        <v>255</v>
      </c>
      <c r="AJ115" s="58">
        <f t="shared" si="198"/>
        <v>142.80000000000001</v>
      </c>
      <c r="AK115" s="73">
        <v>250</v>
      </c>
      <c r="AL115" s="58">
        <f t="shared" si="193"/>
        <v>140</v>
      </c>
      <c r="AM115" s="61">
        <v>344</v>
      </c>
      <c r="AN115" s="58">
        <f t="shared" si="194"/>
        <v>192.64000000000001</v>
      </c>
      <c r="AO115" s="61">
        <v>345</v>
      </c>
      <c r="AP115" s="58">
        <f t="shared" si="145"/>
        <v>193.20000000000002</v>
      </c>
      <c r="AQ115" s="61">
        <v>248</v>
      </c>
      <c r="AR115" s="58">
        <f t="shared" si="169"/>
        <v>138.88000000000002</v>
      </c>
      <c r="AS115" s="57">
        <v>320</v>
      </c>
      <c r="AT115" s="58">
        <f t="shared" si="170"/>
        <v>179.20000000000002</v>
      </c>
      <c r="AU115" s="57">
        <v>222</v>
      </c>
      <c r="AV115" s="58">
        <f t="shared" si="171"/>
        <v>124.32000000000001</v>
      </c>
      <c r="AW115" s="57">
        <v>251</v>
      </c>
      <c r="AX115" s="58">
        <f t="shared" si="195"/>
        <v>140.56</v>
      </c>
      <c r="AY115" s="57">
        <v>232</v>
      </c>
      <c r="AZ115" s="58">
        <f t="shared" si="173"/>
        <v>129.92000000000002</v>
      </c>
      <c r="BA115" s="57">
        <v>182</v>
      </c>
      <c r="BB115" s="58">
        <f t="shared" si="174"/>
        <v>101.92000000000002</v>
      </c>
      <c r="BC115" s="57">
        <v>162</v>
      </c>
      <c r="BD115" s="58">
        <f t="shared" si="175"/>
        <v>90.720000000000013</v>
      </c>
      <c r="BE115" s="57">
        <v>240</v>
      </c>
      <c r="BF115" s="58">
        <f t="shared" si="176"/>
        <v>134.4</v>
      </c>
      <c r="BG115" s="57">
        <v>306</v>
      </c>
      <c r="BH115" s="58">
        <f t="shared" si="177"/>
        <v>171.36</v>
      </c>
      <c r="BI115" s="57">
        <v>356</v>
      </c>
      <c r="BJ115" s="58">
        <f t="shared" si="178"/>
        <v>199.36</v>
      </c>
      <c r="BK115" s="62">
        <f t="shared" si="181"/>
        <v>246</v>
      </c>
      <c r="BL115" s="63">
        <f t="shared" si="181"/>
        <v>137.76000000000002</v>
      </c>
      <c r="BO115" s="101"/>
      <c r="BP115" s="101"/>
      <c r="BQ115" s="101"/>
      <c r="BR115" s="102" t="s">
        <v>179</v>
      </c>
      <c r="BS115" s="102" t="s">
        <v>358</v>
      </c>
      <c r="BT115" s="102" t="s">
        <v>343</v>
      </c>
      <c r="BU115" s="37" t="s">
        <v>175</v>
      </c>
      <c r="BV115" s="66">
        <f t="shared" si="156"/>
        <v>49778.698053333334</v>
      </c>
      <c r="BW115" s="66">
        <f t="shared" si="157"/>
        <v>9632.9425344585889</v>
      </c>
      <c r="BX115" s="66">
        <f t="shared" si="160"/>
        <v>19.351535719431169</v>
      </c>
      <c r="BY115" s="67"/>
      <c r="BZ115" s="104">
        <v>114</v>
      </c>
      <c r="CA115" s="74" t="s">
        <v>111</v>
      </c>
      <c r="CB115" s="69">
        <f t="shared" si="161"/>
        <v>0</v>
      </c>
      <c r="CC115" s="69">
        <f t="shared" si="162"/>
        <v>0</v>
      </c>
      <c r="CD115" s="70"/>
      <c r="CE115" s="103"/>
      <c r="CF115" s="103"/>
      <c r="CG115" s="103">
        <v>114</v>
      </c>
      <c r="CH115" s="71" t="str">
        <f t="shared" si="199"/>
        <v/>
      </c>
      <c r="CI115" s="71" t="str">
        <f t="shared" si="199"/>
        <v/>
      </c>
      <c r="CJ115" s="71" t="str">
        <f t="shared" si="199"/>
        <v/>
      </c>
      <c r="CK115" s="71" t="str">
        <f t="shared" si="199"/>
        <v/>
      </c>
      <c r="CL115" s="71" t="str">
        <f t="shared" si="199"/>
        <v/>
      </c>
      <c r="CM115" s="71" t="str">
        <f t="shared" si="199"/>
        <v/>
      </c>
      <c r="CN115" s="71" t="str">
        <f t="shared" si="199"/>
        <v/>
      </c>
      <c r="CO115" s="71" t="str">
        <f t="shared" si="199"/>
        <v/>
      </c>
      <c r="CP115" s="71" t="str">
        <f t="shared" si="199"/>
        <v/>
      </c>
      <c r="CQ115" s="71" t="str">
        <f t="shared" si="199"/>
        <v/>
      </c>
      <c r="CR115" s="71"/>
      <c r="CS115" s="103">
        <v>114</v>
      </c>
      <c r="CT115" s="71" t="str">
        <f t="shared" si="200"/>
        <v/>
      </c>
      <c r="CU115" s="71" t="str">
        <f t="shared" si="200"/>
        <v/>
      </c>
      <c r="CV115" s="71" t="str">
        <f t="shared" si="200"/>
        <v/>
      </c>
      <c r="CW115" s="71" t="str">
        <f t="shared" si="200"/>
        <v/>
      </c>
      <c r="CX115" s="71" t="str">
        <f t="shared" si="200"/>
        <v/>
      </c>
      <c r="CY115" s="71" t="str">
        <f t="shared" si="200"/>
        <v/>
      </c>
      <c r="CZ115" s="71" t="str">
        <f t="shared" si="200"/>
        <v/>
      </c>
      <c r="DA115" s="71" t="str">
        <f t="shared" si="200"/>
        <v/>
      </c>
      <c r="DB115" s="71" t="str">
        <f t="shared" si="200"/>
        <v/>
      </c>
      <c r="DC115" s="72" t="str">
        <f t="shared" si="200"/>
        <v/>
      </c>
    </row>
    <row r="116" spans="1:107" x14ac:dyDescent="0.35">
      <c r="A116" s="52">
        <v>69</v>
      </c>
      <c r="B116" s="52">
        <v>115</v>
      </c>
      <c r="C116" s="52">
        <v>4</v>
      </c>
      <c r="D116" s="52" t="s">
        <v>357</v>
      </c>
      <c r="E116" s="80" t="s">
        <v>359</v>
      </c>
      <c r="F116" s="55">
        <v>0.56000000000000005</v>
      </c>
      <c r="G116" s="53">
        <v>114</v>
      </c>
      <c r="H116" s="76">
        <f t="shared" si="128"/>
        <v>63.84</v>
      </c>
      <c r="I116" s="77">
        <v>42</v>
      </c>
      <c r="J116" s="58">
        <f t="shared" si="129"/>
        <v>23.520000000000003</v>
      </c>
      <c r="K116" s="57"/>
      <c r="L116" s="58">
        <f t="shared" si="130"/>
        <v>0</v>
      </c>
      <c r="M116" s="77">
        <v>108</v>
      </c>
      <c r="N116" s="58">
        <f t="shared" si="184"/>
        <v>60.480000000000004</v>
      </c>
      <c r="O116" s="77">
        <v>93</v>
      </c>
      <c r="P116" s="58">
        <f t="shared" si="185"/>
        <v>52.080000000000005</v>
      </c>
      <c r="Q116" s="77">
        <v>89</v>
      </c>
      <c r="R116" s="58">
        <f t="shared" si="186"/>
        <v>49.84</v>
      </c>
      <c r="S116" s="77">
        <v>97</v>
      </c>
      <c r="T116" s="58">
        <f t="shared" si="187"/>
        <v>54.320000000000007</v>
      </c>
      <c r="U116" s="57">
        <v>174</v>
      </c>
      <c r="V116" s="58">
        <f t="shared" si="188"/>
        <v>97.440000000000012</v>
      </c>
      <c r="W116" s="77">
        <v>119</v>
      </c>
      <c r="X116" s="58">
        <f t="shared" si="189"/>
        <v>66.64</v>
      </c>
      <c r="Y116" s="57">
        <v>51</v>
      </c>
      <c r="Z116" s="58">
        <f t="shared" si="190"/>
        <v>28.560000000000002</v>
      </c>
      <c r="AA116" s="57">
        <v>35</v>
      </c>
      <c r="AB116" s="58">
        <f t="shared" si="191"/>
        <v>19.600000000000001</v>
      </c>
      <c r="AC116" s="57">
        <v>52</v>
      </c>
      <c r="AD116" s="58">
        <f t="shared" si="192"/>
        <v>29.120000000000005</v>
      </c>
      <c r="AE116" s="57">
        <v>45</v>
      </c>
      <c r="AF116" s="58">
        <f t="shared" si="196"/>
        <v>25.200000000000003</v>
      </c>
      <c r="AG116" s="57">
        <v>45</v>
      </c>
      <c r="AH116" s="58">
        <f t="shared" si="197"/>
        <v>25.200000000000003</v>
      </c>
      <c r="AI116" s="61">
        <v>44</v>
      </c>
      <c r="AJ116" s="58">
        <f t="shared" si="198"/>
        <v>24.64</v>
      </c>
      <c r="AK116" s="61">
        <v>32</v>
      </c>
      <c r="AL116" s="58">
        <f t="shared" si="193"/>
        <v>17.920000000000002</v>
      </c>
      <c r="AM116" s="61">
        <v>42</v>
      </c>
      <c r="AN116" s="58">
        <f t="shared" si="194"/>
        <v>23.520000000000003</v>
      </c>
      <c r="AO116" s="61">
        <v>40</v>
      </c>
      <c r="AP116" s="58">
        <f t="shared" si="145"/>
        <v>22.400000000000002</v>
      </c>
      <c r="AQ116" s="61">
        <v>25</v>
      </c>
      <c r="AR116" s="58">
        <f t="shared" si="169"/>
        <v>14.000000000000002</v>
      </c>
      <c r="AS116" s="57">
        <v>27</v>
      </c>
      <c r="AT116" s="58">
        <f t="shared" si="170"/>
        <v>15.120000000000001</v>
      </c>
      <c r="AU116" s="57">
        <v>18</v>
      </c>
      <c r="AV116" s="58">
        <f t="shared" si="171"/>
        <v>10.080000000000002</v>
      </c>
      <c r="AW116" s="57">
        <v>31</v>
      </c>
      <c r="AX116" s="58">
        <f t="shared" si="195"/>
        <v>17.360000000000003</v>
      </c>
      <c r="AY116" s="57">
        <v>29</v>
      </c>
      <c r="AZ116" s="58">
        <f t="shared" si="173"/>
        <v>16.240000000000002</v>
      </c>
      <c r="BA116" s="57">
        <v>21</v>
      </c>
      <c r="BB116" s="58">
        <f t="shared" si="174"/>
        <v>11.760000000000002</v>
      </c>
      <c r="BC116" s="57">
        <v>20</v>
      </c>
      <c r="BD116" s="58">
        <f t="shared" si="175"/>
        <v>11.200000000000001</v>
      </c>
      <c r="BE116" s="57">
        <v>24</v>
      </c>
      <c r="BF116" s="58">
        <f t="shared" si="176"/>
        <v>13.440000000000001</v>
      </c>
      <c r="BG116" s="57">
        <v>29</v>
      </c>
      <c r="BH116" s="58">
        <f t="shared" si="177"/>
        <v>16.240000000000002</v>
      </c>
      <c r="BI116" s="57">
        <v>23</v>
      </c>
      <c r="BJ116" s="58">
        <f t="shared" si="178"/>
        <v>12.88</v>
      </c>
      <c r="BK116" s="62">
        <f t="shared" si="181"/>
        <v>42</v>
      </c>
      <c r="BL116" s="63">
        <f t="shared" si="181"/>
        <v>23.520000000000003</v>
      </c>
      <c r="BO116" s="101"/>
      <c r="BP116" s="101"/>
      <c r="BQ116" s="101"/>
      <c r="BR116" s="102" t="s">
        <v>179</v>
      </c>
      <c r="BS116" s="102" t="s">
        <v>359</v>
      </c>
      <c r="BT116" s="102" t="s">
        <v>343</v>
      </c>
      <c r="BU116" s="37" t="s">
        <v>175</v>
      </c>
      <c r="BV116" s="66">
        <f t="shared" si="156"/>
        <v>4194.2140266666665</v>
      </c>
      <c r="BW116" s="66">
        <f t="shared" si="157"/>
        <v>532.20441171093944</v>
      </c>
      <c r="BX116" s="66">
        <f t="shared" si="160"/>
        <v>12.689014159201278</v>
      </c>
      <c r="BY116" s="67"/>
      <c r="BZ116" s="104">
        <v>115</v>
      </c>
      <c r="CA116" s="74" t="s">
        <v>112</v>
      </c>
      <c r="CB116" s="69">
        <f t="shared" si="161"/>
        <v>0</v>
      </c>
      <c r="CC116" s="69">
        <f t="shared" si="162"/>
        <v>0</v>
      </c>
      <c r="CD116" s="70"/>
      <c r="CE116" s="103"/>
      <c r="CF116" s="103"/>
      <c r="CG116" s="103">
        <v>115</v>
      </c>
      <c r="CH116" s="71" t="str">
        <f t="shared" si="199"/>
        <v/>
      </c>
      <c r="CI116" s="71" t="str">
        <f t="shared" si="199"/>
        <v/>
      </c>
      <c r="CJ116" s="71" t="str">
        <f t="shared" si="199"/>
        <v/>
      </c>
      <c r="CK116" s="71" t="str">
        <f t="shared" si="199"/>
        <v/>
      </c>
      <c r="CL116" s="71" t="str">
        <f t="shared" si="199"/>
        <v/>
      </c>
      <c r="CM116" s="71" t="str">
        <f t="shared" si="199"/>
        <v/>
      </c>
      <c r="CN116" s="71" t="str">
        <f t="shared" si="199"/>
        <v/>
      </c>
      <c r="CO116" s="71" t="str">
        <f t="shared" si="199"/>
        <v/>
      </c>
      <c r="CP116" s="71" t="str">
        <f t="shared" si="199"/>
        <v/>
      </c>
      <c r="CQ116" s="71" t="str">
        <f t="shared" si="199"/>
        <v/>
      </c>
      <c r="CR116" s="71"/>
      <c r="CS116" s="103">
        <v>115</v>
      </c>
      <c r="CT116" s="71" t="str">
        <f t="shared" si="200"/>
        <v/>
      </c>
      <c r="CU116" s="71" t="str">
        <f t="shared" si="200"/>
        <v/>
      </c>
      <c r="CV116" s="71" t="str">
        <f t="shared" si="200"/>
        <v/>
      </c>
      <c r="CW116" s="71" t="str">
        <f t="shared" si="200"/>
        <v/>
      </c>
      <c r="CX116" s="71" t="str">
        <f t="shared" si="200"/>
        <v/>
      </c>
      <c r="CY116" s="71" t="str">
        <f t="shared" si="200"/>
        <v/>
      </c>
      <c r="CZ116" s="71" t="str">
        <f t="shared" si="200"/>
        <v/>
      </c>
      <c r="DA116" s="71" t="str">
        <f t="shared" si="200"/>
        <v/>
      </c>
      <c r="DB116" s="71" t="str">
        <f t="shared" si="200"/>
        <v/>
      </c>
      <c r="DC116" s="72" t="str">
        <f t="shared" si="200"/>
        <v/>
      </c>
    </row>
    <row r="117" spans="1:107" x14ac:dyDescent="0.35">
      <c r="A117" s="52">
        <v>70</v>
      </c>
      <c r="B117" s="52">
        <v>116</v>
      </c>
      <c r="C117" s="52">
        <v>4</v>
      </c>
      <c r="D117" s="52" t="s">
        <v>357</v>
      </c>
      <c r="E117" s="80" t="s">
        <v>360</v>
      </c>
      <c r="F117" s="55">
        <v>0.56000000000000005</v>
      </c>
      <c r="G117" s="53">
        <v>680</v>
      </c>
      <c r="H117" s="76">
        <f t="shared" si="128"/>
        <v>380.8</v>
      </c>
      <c r="I117" s="77">
        <v>248</v>
      </c>
      <c r="J117" s="58">
        <f t="shared" si="129"/>
        <v>138.88000000000002</v>
      </c>
      <c r="K117" s="57"/>
      <c r="L117" s="58">
        <f t="shared" si="130"/>
        <v>0</v>
      </c>
      <c r="M117" s="77">
        <v>387</v>
      </c>
      <c r="N117" s="58">
        <f t="shared" si="184"/>
        <v>216.72000000000003</v>
      </c>
      <c r="O117" s="77">
        <v>345</v>
      </c>
      <c r="P117" s="58">
        <f t="shared" si="185"/>
        <v>193.20000000000002</v>
      </c>
      <c r="Q117" s="77">
        <v>401</v>
      </c>
      <c r="R117" s="58">
        <f t="shared" si="186"/>
        <v>224.56000000000003</v>
      </c>
      <c r="S117" s="77">
        <v>496</v>
      </c>
      <c r="T117" s="58">
        <f t="shared" si="187"/>
        <v>277.76000000000005</v>
      </c>
      <c r="U117" s="57">
        <v>421</v>
      </c>
      <c r="V117" s="58">
        <f t="shared" si="188"/>
        <v>235.76000000000002</v>
      </c>
      <c r="W117" s="77">
        <v>337</v>
      </c>
      <c r="X117" s="58">
        <f t="shared" si="189"/>
        <v>188.72000000000003</v>
      </c>
      <c r="Y117" s="57">
        <v>359</v>
      </c>
      <c r="Z117" s="58">
        <f t="shared" si="190"/>
        <v>201.04000000000002</v>
      </c>
      <c r="AA117" s="57">
        <v>283</v>
      </c>
      <c r="AB117" s="58">
        <f t="shared" si="191"/>
        <v>158.48000000000002</v>
      </c>
      <c r="AC117" s="57">
        <v>300</v>
      </c>
      <c r="AD117" s="58">
        <f t="shared" si="192"/>
        <v>168.00000000000003</v>
      </c>
      <c r="AE117" s="57">
        <v>287</v>
      </c>
      <c r="AF117" s="58">
        <f t="shared" si="196"/>
        <v>160.72000000000003</v>
      </c>
      <c r="AG117" s="57">
        <v>252</v>
      </c>
      <c r="AH117" s="58">
        <f t="shared" si="197"/>
        <v>141.12</v>
      </c>
      <c r="AI117" s="61">
        <v>270</v>
      </c>
      <c r="AJ117" s="58">
        <f t="shared" si="198"/>
        <v>151.20000000000002</v>
      </c>
      <c r="AK117" s="73">
        <v>247</v>
      </c>
      <c r="AL117" s="58">
        <f t="shared" si="193"/>
        <v>138.32000000000002</v>
      </c>
      <c r="AM117" s="61">
        <v>275</v>
      </c>
      <c r="AN117" s="58">
        <f t="shared" si="194"/>
        <v>154.00000000000003</v>
      </c>
      <c r="AO117" s="61">
        <v>226</v>
      </c>
      <c r="AP117" s="58">
        <f t="shared" si="145"/>
        <v>126.56000000000002</v>
      </c>
      <c r="AQ117" s="61">
        <v>242</v>
      </c>
      <c r="AR117" s="58">
        <f t="shared" si="169"/>
        <v>135.52000000000001</v>
      </c>
      <c r="AS117" s="57">
        <v>298</v>
      </c>
      <c r="AT117" s="58">
        <f t="shared" si="170"/>
        <v>166.88000000000002</v>
      </c>
      <c r="AU117" s="57">
        <v>195</v>
      </c>
      <c r="AV117" s="58">
        <f t="shared" si="171"/>
        <v>109.20000000000002</v>
      </c>
      <c r="AW117" s="57">
        <v>266</v>
      </c>
      <c r="AX117" s="58">
        <f t="shared" si="195"/>
        <v>148.96</v>
      </c>
      <c r="AY117" s="57">
        <v>250</v>
      </c>
      <c r="AZ117" s="58">
        <f t="shared" si="173"/>
        <v>140</v>
      </c>
      <c r="BA117" s="57">
        <v>274</v>
      </c>
      <c r="BB117" s="58">
        <f t="shared" si="174"/>
        <v>153.44000000000003</v>
      </c>
      <c r="BC117" s="57">
        <v>227</v>
      </c>
      <c r="BD117" s="58">
        <f t="shared" si="175"/>
        <v>127.12000000000002</v>
      </c>
      <c r="BE117" s="57">
        <v>236</v>
      </c>
      <c r="BF117" s="58">
        <f t="shared" si="176"/>
        <v>132.16000000000003</v>
      </c>
      <c r="BG117" s="57">
        <v>254</v>
      </c>
      <c r="BH117" s="58">
        <f t="shared" si="177"/>
        <v>142.24</v>
      </c>
      <c r="BI117" s="57">
        <v>191</v>
      </c>
      <c r="BJ117" s="58">
        <f t="shared" si="178"/>
        <v>106.96000000000001</v>
      </c>
      <c r="BK117" s="62">
        <f t="shared" si="181"/>
        <v>248</v>
      </c>
      <c r="BL117" s="63">
        <f t="shared" si="181"/>
        <v>138.88000000000002</v>
      </c>
      <c r="BO117" s="101"/>
      <c r="BP117" s="101"/>
      <c r="BQ117" s="101"/>
      <c r="BR117" s="102" t="s">
        <v>179</v>
      </c>
      <c r="BS117" s="102" t="s">
        <v>360</v>
      </c>
      <c r="BT117" s="102" t="s">
        <v>343</v>
      </c>
      <c r="BU117" s="37" t="s">
        <v>175</v>
      </c>
      <c r="BV117" s="66">
        <f t="shared" si="156"/>
        <v>37582.365160000001</v>
      </c>
      <c r="BW117" s="66">
        <f t="shared" si="157"/>
        <v>5372.4506684507605</v>
      </c>
      <c r="BX117" s="66">
        <f t="shared" si="160"/>
        <v>14.295137215495993</v>
      </c>
      <c r="BY117" s="67"/>
      <c r="BZ117" s="104">
        <v>116</v>
      </c>
      <c r="CA117" s="74" t="s">
        <v>113</v>
      </c>
      <c r="CB117" s="69">
        <f t="shared" si="161"/>
        <v>0</v>
      </c>
      <c r="CC117" s="69">
        <f t="shared" si="162"/>
        <v>0</v>
      </c>
      <c r="CD117" s="70"/>
      <c r="CE117" s="103"/>
      <c r="CF117" s="103"/>
      <c r="CG117" s="103">
        <v>116</v>
      </c>
      <c r="CH117" s="71" t="str">
        <f t="shared" si="199"/>
        <v/>
      </c>
      <c r="CI117" s="71" t="str">
        <f t="shared" si="199"/>
        <v/>
      </c>
      <c r="CJ117" s="71" t="str">
        <f t="shared" si="199"/>
        <v/>
      </c>
      <c r="CK117" s="71" t="str">
        <f t="shared" si="199"/>
        <v/>
      </c>
      <c r="CL117" s="71" t="str">
        <f t="shared" si="199"/>
        <v/>
      </c>
      <c r="CM117" s="71" t="str">
        <f t="shared" si="199"/>
        <v/>
      </c>
      <c r="CN117" s="71" t="str">
        <f t="shared" si="199"/>
        <v/>
      </c>
      <c r="CO117" s="71" t="str">
        <f t="shared" si="199"/>
        <v/>
      </c>
      <c r="CP117" s="71" t="str">
        <f t="shared" si="199"/>
        <v/>
      </c>
      <c r="CQ117" s="71" t="str">
        <f t="shared" si="199"/>
        <v/>
      </c>
      <c r="CR117" s="71"/>
      <c r="CS117" s="103">
        <v>116</v>
      </c>
      <c r="CT117" s="71" t="str">
        <f t="shared" si="200"/>
        <v/>
      </c>
      <c r="CU117" s="71" t="str">
        <f t="shared" si="200"/>
        <v/>
      </c>
      <c r="CV117" s="71" t="str">
        <f t="shared" si="200"/>
        <v/>
      </c>
      <c r="CW117" s="71" t="str">
        <f t="shared" si="200"/>
        <v/>
      </c>
      <c r="CX117" s="71" t="str">
        <f t="shared" si="200"/>
        <v/>
      </c>
      <c r="CY117" s="71" t="str">
        <f t="shared" si="200"/>
        <v/>
      </c>
      <c r="CZ117" s="71" t="str">
        <f t="shared" si="200"/>
        <v/>
      </c>
      <c r="DA117" s="71" t="str">
        <f t="shared" si="200"/>
        <v/>
      </c>
      <c r="DB117" s="71" t="str">
        <f t="shared" si="200"/>
        <v/>
      </c>
      <c r="DC117" s="72" t="str">
        <f t="shared" si="200"/>
        <v/>
      </c>
    </row>
    <row r="118" spans="1:107" x14ac:dyDescent="0.35">
      <c r="A118" s="52">
        <v>71</v>
      </c>
      <c r="B118" s="52">
        <v>117</v>
      </c>
      <c r="C118" s="52">
        <v>4</v>
      </c>
      <c r="D118" s="52" t="s">
        <v>357</v>
      </c>
      <c r="E118" s="80" t="s">
        <v>361</v>
      </c>
      <c r="F118" s="55">
        <v>0.56000000000000005</v>
      </c>
      <c r="G118" s="53">
        <v>1152</v>
      </c>
      <c r="H118" s="76">
        <f t="shared" si="128"/>
        <v>645.12000000000012</v>
      </c>
      <c r="I118" s="77">
        <v>420</v>
      </c>
      <c r="J118" s="58">
        <f t="shared" si="129"/>
        <v>235.20000000000002</v>
      </c>
      <c r="K118" s="57"/>
      <c r="L118" s="58">
        <f t="shared" si="130"/>
        <v>0</v>
      </c>
      <c r="M118" s="77">
        <v>1152</v>
      </c>
      <c r="N118" s="58">
        <f t="shared" si="184"/>
        <v>645.12000000000012</v>
      </c>
      <c r="O118" s="77">
        <v>1152</v>
      </c>
      <c r="P118" s="58">
        <f t="shared" si="185"/>
        <v>645.12000000000012</v>
      </c>
      <c r="Q118" s="77">
        <v>1152</v>
      </c>
      <c r="R118" s="58">
        <f t="shared" si="186"/>
        <v>645.12000000000012</v>
      </c>
      <c r="S118" s="77">
        <v>1152</v>
      </c>
      <c r="T118" s="58">
        <f t="shared" si="187"/>
        <v>645.12000000000012</v>
      </c>
      <c r="U118" s="57">
        <v>1152</v>
      </c>
      <c r="V118" s="58">
        <f t="shared" si="188"/>
        <v>645.12000000000012</v>
      </c>
      <c r="W118" s="77">
        <v>1152</v>
      </c>
      <c r="X118" s="58">
        <f t="shared" si="189"/>
        <v>645.12000000000012</v>
      </c>
      <c r="Y118" s="57">
        <v>1152</v>
      </c>
      <c r="Z118" s="58">
        <f t="shared" si="190"/>
        <v>645.12000000000012</v>
      </c>
      <c r="AA118" s="57">
        <v>1152</v>
      </c>
      <c r="AB118" s="58">
        <f t="shared" si="191"/>
        <v>645.12000000000012</v>
      </c>
      <c r="AC118" s="57">
        <v>1152</v>
      </c>
      <c r="AD118" s="58">
        <f t="shared" si="192"/>
        <v>645.12000000000012</v>
      </c>
      <c r="AE118" s="57">
        <v>1152</v>
      </c>
      <c r="AF118" s="58">
        <f t="shared" si="196"/>
        <v>645.12000000000012</v>
      </c>
      <c r="AG118" s="57">
        <v>1152</v>
      </c>
      <c r="AH118" s="58">
        <f t="shared" si="197"/>
        <v>645.12000000000012</v>
      </c>
      <c r="AI118" s="61">
        <v>1152</v>
      </c>
      <c r="AJ118" s="58">
        <f t="shared" si="198"/>
        <v>645.12000000000012</v>
      </c>
      <c r="AK118" s="73">
        <v>1152</v>
      </c>
      <c r="AL118" s="58">
        <f t="shared" si="193"/>
        <v>645.12000000000012</v>
      </c>
      <c r="AM118" s="61">
        <v>1152</v>
      </c>
      <c r="AN118" s="58">
        <f t="shared" si="194"/>
        <v>645.12000000000012</v>
      </c>
      <c r="AO118" s="61">
        <v>1152</v>
      </c>
      <c r="AP118" s="58">
        <f t="shared" si="145"/>
        <v>645.12000000000012</v>
      </c>
      <c r="AQ118" s="61">
        <v>1152</v>
      </c>
      <c r="AR118" s="58">
        <f t="shared" si="169"/>
        <v>645.12000000000012</v>
      </c>
      <c r="AS118" s="57">
        <v>1152</v>
      </c>
      <c r="AT118" s="58">
        <f t="shared" si="170"/>
        <v>645.12000000000012</v>
      </c>
      <c r="AU118" s="57">
        <v>1150</v>
      </c>
      <c r="AV118" s="58">
        <f t="shared" si="171"/>
        <v>644.00000000000011</v>
      </c>
      <c r="AX118" s="58">
        <f t="shared" si="195"/>
        <v>0</v>
      </c>
      <c r="AY118" s="57">
        <v>0</v>
      </c>
      <c r="AZ118" s="58">
        <f t="shared" si="173"/>
        <v>0</v>
      </c>
      <c r="BA118" s="57">
        <v>0</v>
      </c>
      <c r="BB118" s="58">
        <f t="shared" si="174"/>
        <v>0</v>
      </c>
      <c r="BC118" s="57">
        <v>0</v>
      </c>
      <c r="BD118" s="58">
        <f t="shared" si="175"/>
        <v>0</v>
      </c>
      <c r="BE118" s="57">
        <v>0</v>
      </c>
      <c r="BF118" s="58">
        <f t="shared" si="176"/>
        <v>0</v>
      </c>
      <c r="BG118" s="57">
        <v>0</v>
      </c>
      <c r="BH118" s="58">
        <f t="shared" si="177"/>
        <v>0</v>
      </c>
      <c r="BJ118" s="58">
        <f t="shared" si="178"/>
        <v>0</v>
      </c>
      <c r="BK118" s="62">
        <f t="shared" si="181"/>
        <v>420</v>
      </c>
      <c r="BL118" s="63">
        <f t="shared" si="181"/>
        <v>235.20000000000002</v>
      </c>
      <c r="BO118" s="101"/>
      <c r="BP118" s="101"/>
      <c r="BQ118" s="101"/>
      <c r="BR118" s="102" t="s">
        <v>179</v>
      </c>
      <c r="BS118" s="102" t="s">
        <v>361</v>
      </c>
      <c r="BT118" s="102" t="s">
        <v>343</v>
      </c>
      <c r="BU118" s="37" t="s">
        <v>175</v>
      </c>
      <c r="BV118" s="66">
        <f t="shared" si="156"/>
        <v>0</v>
      </c>
      <c r="BW118" s="66">
        <f t="shared" si="157"/>
        <v>0</v>
      </c>
      <c r="BX118" s="66" t="str">
        <f t="shared" si="160"/>
        <v/>
      </c>
      <c r="BY118" s="67"/>
      <c r="BZ118" s="104"/>
      <c r="CA118" s="74"/>
      <c r="CD118" s="70"/>
      <c r="CE118" s="103"/>
      <c r="CF118" s="103"/>
      <c r="CG118" s="103">
        <v>117</v>
      </c>
      <c r="CH118" s="71" t="str">
        <f t="shared" si="199"/>
        <v/>
      </c>
      <c r="CI118" s="71" t="str">
        <f t="shared" si="199"/>
        <v/>
      </c>
      <c r="CJ118" s="71" t="str">
        <f t="shared" si="199"/>
        <v/>
      </c>
      <c r="CK118" s="71" t="str">
        <f t="shared" si="199"/>
        <v/>
      </c>
      <c r="CL118" s="71" t="str">
        <f t="shared" si="199"/>
        <v/>
      </c>
      <c r="CM118" s="71" t="str">
        <f t="shared" si="199"/>
        <v/>
      </c>
      <c r="CN118" s="71" t="str">
        <f t="shared" si="199"/>
        <v/>
      </c>
      <c r="CO118" s="71" t="str">
        <f t="shared" si="199"/>
        <v/>
      </c>
      <c r="CP118" s="71" t="str">
        <f t="shared" si="199"/>
        <v/>
      </c>
      <c r="CQ118" s="71" t="str">
        <f t="shared" si="199"/>
        <v/>
      </c>
      <c r="CR118" s="71"/>
      <c r="CS118" s="103">
        <v>117</v>
      </c>
      <c r="CT118" s="71" t="str">
        <f t="shared" si="200"/>
        <v/>
      </c>
      <c r="CU118" s="71" t="str">
        <f t="shared" si="200"/>
        <v/>
      </c>
      <c r="CV118" s="71" t="str">
        <f t="shared" si="200"/>
        <v/>
      </c>
      <c r="CW118" s="71" t="str">
        <f t="shared" si="200"/>
        <v/>
      </c>
      <c r="CX118" s="71" t="str">
        <f t="shared" si="200"/>
        <v/>
      </c>
      <c r="CY118" s="71" t="str">
        <f t="shared" si="200"/>
        <v/>
      </c>
      <c r="CZ118" s="71" t="str">
        <f t="shared" si="200"/>
        <v/>
      </c>
      <c r="DA118" s="71" t="str">
        <f t="shared" si="200"/>
        <v/>
      </c>
      <c r="DB118" s="71" t="str">
        <f t="shared" si="200"/>
        <v/>
      </c>
      <c r="DC118" s="72" t="str">
        <f t="shared" si="200"/>
        <v/>
      </c>
    </row>
    <row r="119" spans="1:107" x14ac:dyDescent="0.35">
      <c r="A119" s="52">
        <v>72</v>
      </c>
      <c r="B119" s="52">
        <v>118</v>
      </c>
      <c r="C119" s="52">
        <v>4</v>
      </c>
      <c r="D119" s="52" t="s">
        <v>357</v>
      </c>
      <c r="E119" s="80" t="s">
        <v>362</v>
      </c>
      <c r="F119" s="55">
        <v>0.56000000000000005</v>
      </c>
      <c r="G119" s="53">
        <v>2766</v>
      </c>
      <c r="H119" s="76">
        <f t="shared" si="128"/>
        <v>1548.96</v>
      </c>
      <c r="I119" s="77">
        <v>1010</v>
      </c>
      <c r="J119" s="58">
        <f t="shared" si="129"/>
        <v>565.6</v>
      </c>
      <c r="K119" s="57"/>
      <c r="L119" s="58">
        <f t="shared" si="130"/>
        <v>0</v>
      </c>
      <c r="M119" s="77">
        <v>3129</v>
      </c>
      <c r="N119" s="58">
        <f t="shared" si="184"/>
        <v>1752.2400000000002</v>
      </c>
      <c r="O119" s="77">
        <v>3332</v>
      </c>
      <c r="P119" s="58">
        <f t="shared" si="185"/>
        <v>1865.92</v>
      </c>
      <c r="Q119" s="77">
        <v>2949</v>
      </c>
      <c r="R119" s="58">
        <f t="shared" si="186"/>
        <v>1651.44</v>
      </c>
      <c r="S119" s="77">
        <v>2757</v>
      </c>
      <c r="T119" s="58">
        <f t="shared" si="187"/>
        <v>1543.92</v>
      </c>
      <c r="U119" s="57">
        <v>3892</v>
      </c>
      <c r="V119" s="58">
        <f t="shared" si="188"/>
        <v>2179.52</v>
      </c>
      <c r="W119" s="77">
        <v>2719</v>
      </c>
      <c r="X119" s="58">
        <f t="shared" si="189"/>
        <v>1522.64</v>
      </c>
      <c r="Y119" s="57">
        <v>1493</v>
      </c>
      <c r="Z119" s="58">
        <f t="shared" si="190"/>
        <v>836.08</v>
      </c>
      <c r="AA119" s="57">
        <v>778</v>
      </c>
      <c r="AB119" s="58">
        <f t="shared" si="191"/>
        <v>435.68000000000006</v>
      </c>
      <c r="AC119" s="57">
        <v>1335</v>
      </c>
      <c r="AD119" s="58">
        <f t="shared" si="192"/>
        <v>747.6</v>
      </c>
      <c r="AE119" s="57">
        <v>920</v>
      </c>
      <c r="AF119" s="58">
        <f t="shared" si="196"/>
        <v>515.20000000000005</v>
      </c>
      <c r="AG119" s="57">
        <v>964</v>
      </c>
      <c r="AH119" s="58">
        <f t="shared" si="197"/>
        <v>539.84</v>
      </c>
      <c r="AI119" s="61">
        <v>1006</v>
      </c>
      <c r="AJ119" s="58">
        <f t="shared" si="198"/>
        <v>563.36</v>
      </c>
      <c r="AK119" s="73">
        <v>1034</v>
      </c>
      <c r="AL119" s="58">
        <f t="shared" si="193"/>
        <v>579.04000000000008</v>
      </c>
      <c r="AM119" s="61">
        <v>869</v>
      </c>
      <c r="AN119" s="58">
        <f t="shared" si="194"/>
        <v>486.64000000000004</v>
      </c>
      <c r="AO119" s="61">
        <v>857</v>
      </c>
      <c r="AP119" s="58">
        <f t="shared" si="145"/>
        <v>479.92000000000007</v>
      </c>
      <c r="AQ119" s="61">
        <v>802</v>
      </c>
      <c r="AR119" s="58">
        <f t="shared" si="169"/>
        <v>449.12000000000006</v>
      </c>
      <c r="AS119" s="57">
        <v>914</v>
      </c>
      <c r="AT119" s="58">
        <f t="shared" si="170"/>
        <v>511.84000000000003</v>
      </c>
      <c r="AU119" s="57">
        <v>582</v>
      </c>
      <c r="AV119" s="58">
        <f t="shared" si="171"/>
        <v>325.92</v>
      </c>
      <c r="AW119" s="57">
        <v>742</v>
      </c>
      <c r="AX119" s="58">
        <f t="shared" si="195"/>
        <v>415.52000000000004</v>
      </c>
      <c r="AY119" s="57">
        <v>667</v>
      </c>
      <c r="AZ119" s="58">
        <f t="shared" si="173"/>
        <v>373.52000000000004</v>
      </c>
      <c r="BA119" s="57">
        <v>571</v>
      </c>
      <c r="BB119" s="58">
        <f t="shared" si="174"/>
        <v>319.76000000000005</v>
      </c>
      <c r="BC119" s="57">
        <v>504</v>
      </c>
      <c r="BD119" s="58">
        <f t="shared" si="175"/>
        <v>282.24</v>
      </c>
      <c r="BE119" s="57">
        <v>814</v>
      </c>
      <c r="BF119" s="58">
        <f t="shared" si="176"/>
        <v>455.84000000000003</v>
      </c>
      <c r="BG119" s="57">
        <v>852</v>
      </c>
      <c r="BH119" s="58">
        <f t="shared" si="177"/>
        <v>477.12000000000006</v>
      </c>
      <c r="BI119" s="57">
        <v>1286</v>
      </c>
      <c r="BJ119" s="58">
        <f t="shared" si="178"/>
        <v>720.16000000000008</v>
      </c>
      <c r="BK119" s="62">
        <f t="shared" si="181"/>
        <v>1010</v>
      </c>
      <c r="BL119" s="63">
        <f t="shared" si="181"/>
        <v>565.6</v>
      </c>
      <c r="BO119" s="101"/>
      <c r="BP119" s="101"/>
      <c r="BQ119" s="101"/>
      <c r="BR119" s="102" t="s">
        <v>179</v>
      </c>
      <c r="BS119" s="102" t="s">
        <v>362</v>
      </c>
      <c r="BT119" s="102" t="s">
        <v>343</v>
      </c>
      <c r="BU119" s="37" t="s">
        <v>175</v>
      </c>
      <c r="BV119" s="66">
        <f t="shared" si="156"/>
        <v>162912.10272</v>
      </c>
      <c r="BW119" s="66">
        <f t="shared" si="157"/>
        <v>43414.901155445936</v>
      </c>
      <c r="BX119" s="66">
        <f t="shared" si="160"/>
        <v>26.649279231306661</v>
      </c>
      <c r="BY119" s="67"/>
      <c r="BZ119" s="104"/>
      <c r="CA119" s="74"/>
      <c r="CD119" s="70"/>
      <c r="CE119" s="103"/>
      <c r="CF119" s="103"/>
      <c r="CG119" s="103">
        <v>118</v>
      </c>
      <c r="CH119" s="71" t="str">
        <f t="shared" si="199"/>
        <v/>
      </c>
      <c r="CI119" s="71" t="str">
        <f t="shared" si="199"/>
        <v/>
      </c>
      <c r="CJ119" s="71" t="str">
        <f t="shared" si="199"/>
        <v/>
      </c>
      <c r="CK119" s="71" t="str">
        <f t="shared" si="199"/>
        <v/>
      </c>
      <c r="CL119" s="71" t="str">
        <f t="shared" si="199"/>
        <v/>
      </c>
      <c r="CM119" s="71" t="str">
        <f t="shared" si="199"/>
        <v/>
      </c>
      <c r="CN119" s="71" t="str">
        <f t="shared" si="199"/>
        <v/>
      </c>
      <c r="CO119" s="71" t="str">
        <f t="shared" si="199"/>
        <v/>
      </c>
      <c r="CP119" s="71" t="str">
        <f t="shared" si="199"/>
        <v/>
      </c>
      <c r="CQ119" s="71" t="str">
        <f t="shared" si="199"/>
        <v/>
      </c>
      <c r="CR119" s="71"/>
      <c r="CS119" s="103">
        <v>118</v>
      </c>
      <c r="CT119" s="71" t="str">
        <f t="shared" si="200"/>
        <v/>
      </c>
      <c r="CU119" s="71" t="str">
        <f t="shared" si="200"/>
        <v/>
      </c>
      <c r="CV119" s="71" t="str">
        <f t="shared" si="200"/>
        <v/>
      </c>
      <c r="CW119" s="71" t="str">
        <f t="shared" si="200"/>
        <v/>
      </c>
      <c r="CX119" s="71" t="str">
        <f t="shared" si="200"/>
        <v/>
      </c>
      <c r="CY119" s="71" t="str">
        <f t="shared" si="200"/>
        <v/>
      </c>
      <c r="CZ119" s="71" t="str">
        <f t="shared" si="200"/>
        <v/>
      </c>
      <c r="DA119" s="71" t="str">
        <f t="shared" si="200"/>
        <v/>
      </c>
      <c r="DB119" s="71" t="str">
        <f t="shared" si="200"/>
        <v/>
      </c>
      <c r="DC119" s="72" t="str">
        <f t="shared" si="200"/>
        <v/>
      </c>
    </row>
    <row r="120" spans="1:107" x14ac:dyDescent="0.35">
      <c r="A120" s="52">
        <v>73</v>
      </c>
      <c r="B120" s="52">
        <v>119</v>
      </c>
      <c r="C120" s="52">
        <v>4</v>
      </c>
      <c r="D120" s="52" t="s">
        <v>357</v>
      </c>
      <c r="E120" s="80" t="s">
        <v>363</v>
      </c>
      <c r="F120" s="55">
        <v>0.56000000000000005</v>
      </c>
      <c r="G120" s="53">
        <v>106</v>
      </c>
      <c r="H120" s="76">
        <f t="shared" si="128"/>
        <v>59.360000000000007</v>
      </c>
      <c r="I120" s="77">
        <v>39</v>
      </c>
      <c r="J120" s="58">
        <f t="shared" si="129"/>
        <v>21.840000000000003</v>
      </c>
      <c r="K120" s="57"/>
      <c r="L120" s="58">
        <f t="shared" si="130"/>
        <v>0</v>
      </c>
      <c r="M120" s="77">
        <v>124</v>
      </c>
      <c r="N120" s="58">
        <f t="shared" si="184"/>
        <v>69.440000000000012</v>
      </c>
      <c r="O120" s="77">
        <v>134</v>
      </c>
      <c r="P120" s="58">
        <f t="shared" si="185"/>
        <v>75.040000000000006</v>
      </c>
      <c r="Q120" s="77">
        <v>126</v>
      </c>
      <c r="R120" s="58">
        <f t="shared" si="186"/>
        <v>70.56</v>
      </c>
      <c r="S120" s="77">
        <v>169</v>
      </c>
      <c r="T120" s="58">
        <f t="shared" si="187"/>
        <v>94.640000000000015</v>
      </c>
      <c r="U120" s="57">
        <v>129</v>
      </c>
      <c r="V120" s="58">
        <f t="shared" si="188"/>
        <v>72.240000000000009</v>
      </c>
      <c r="W120" s="77">
        <v>159</v>
      </c>
      <c r="X120" s="58">
        <f t="shared" si="189"/>
        <v>89.04</v>
      </c>
      <c r="Y120" s="57">
        <v>0</v>
      </c>
      <c r="Z120" s="58">
        <f t="shared" si="190"/>
        <v>0</v>
      </c>
      <c r="AA120" s="57">
        <v>0</v>
      </c>
      <c r="AB120" s="58">
        <f t="shared" si="191"/>
        <v>0</v>
      </c>
      <c r="AC120" s="57">
        <v>0</v>
      </c>
      <c r="AD120" s="58">
        <f t="shared" si="192"/>
        <v>0</v>
      </c>
      <c r="AE120" s="57">
        <v>0</v>
      </c>
      <c r="AF120" s="58">
        <v>0</v>
      </c>
      <c r="AG120" s="57">
        <v>0</v>
      </c>
      <c r="AH120" s="58">
        <v>0</v>
      </c>
      <c r="AI120" s="61">
        <v>0</v>
      </c>
      <c r="AJ120" s="58">
        <v>0</v>
      </c>
      <c r="AK120" s="73">
        <v>0</v>
      </c>
      <c r="AL120" s="58">
        <f t="shared" si="193"/>
        <v>0</v>
      </c>
      <c r="AM120" s="61">
        <v>0</v>
      </c>
      <c r="AN120" s="58">
        <f t="shared" si="194"/>
        <v>0</v>
      </c>
      <c r="AP120" s="58">
        <f t="shared" si="145"/>
        <v>0</v>
      </c>
      <c r="AR120" s="58">
        <f t="shared" si="169"/>
        <v>0</v>
      </c>
      <c r="AS120" s="57">
        <v>0</v>
      </c>
      <c r="AT120" s="58">
        <f t="shared" si="170"/>
        <v>0</v>
      </c>
      <c r="AV120" s="58">
        <f t="shared" si="171"/>
        <v>0</v>
      </c>
      <c r="AX120" s="58">
        <f t="shared" si="195"/>
        <v>0</v>
      </c>
      <c r="AY120" s="57">
        <v>0</v>
      </c>
      <c r="AZ120" s="58">
        <f t="shared" si="173"/>
        <v>0</v>
      </c>
      <c r="BB120" s="58">
        <f t="shared" si="174"/>
        <v>0</v>
      </c>
      <c r="BC120" s="57">
        <v>0</v>
      </c>
      <c r="BD120" s="58">
        <f t="shared" si="175"/>
        <v>0</v>
      </c>
      <c r="BE120" s="57">
        <v>0</v>
      </c>
      <c r="BF120" s="58">
        <f t="shared" si="176"/>
        <v>0</v>
      </c>
      <c r="BG120" s="57">
        <v>0</v>
      </c>
      <c r="BH120" s="58">
        <f t="shared" si="177"/>
        <v>0</v>
      </c>
      <c r="BJ120" s="58">
        <f t="shared" si="178"/>
        <v>0</v>
      </c>
      <c r="BK120" s="62">
        <f t="shared" si="181"/>
        <v>39</v>
      </c>
      <c r="BL120" s="63">
        <f t="shared" si="181"/>
        <v>21.840000000000003</v>
      </c>
      <c r="BO120" s="101"/>
      <c r="BP120" s="101"/>
      <c r="BQ120" s="101"/>
      <c r="BR120" s="102"/>
      <c r="BS120" s="102"/>
      <c r="BT120" s="102"/>
      <c r="BU120" s="37" t="s">
        <v>175</v>
      </c>
      <c r="BV120" s="66">
        <f t="shared" si="156"/>
        <v>0</v>
      </c>
      <c r="BW120" s="66">
        <f t="shared" si="157"/>
        <v>0</v>
      </c>
      <c r="BX120" s="66" t="str">
        <f t="shared" si="160"/>
        <v/>
      </c>
      <c r="BY120" s="67"/>
      <c r="BZ120" s="104"/>
      <c r="CA120" s="74"/>
      <c r="CD120" s="70"/>
      <c r="CE120" s="103"/>
      <c r="CF120" s="103"/>
      <c r="CG120" s="103">
        <v>119</v>
      </c>
      <c r="CH120" s="71" t="str">
        <f t="shared" si="199"/>
        <v/>
      </c>
      <c r="CI120" s="71" t="str">
        <f t="shared" si="199"/>
        <v/>
      </c>
      <c r="CJ120" s="71" t="str">
        <f t="shared" si="199"/>
        <v/>
      </c>
      <c r="CK120" s="71" t="str">
        <f t="shared" si="199"/>
        <v/>
      </c>
      <c r="CL120" s="71" t="str">
        <f t="shared" si="199"/>
        <v/>
      </c>
      <c r="CM120" s="71" t="str">
        <f t="shared" si="199"/>
        <v/>
      </c>
      <c r="CN120" s="71" t="str">
        <f t="shared" si="199"/>
        <v/>
      </c>
      <c r="CO120" s="71" t="str">
        <f t="shared" si="199"/>
        <v/>
      </c>
      <c r="CP120" s="71" t="str">
        <f t="shared" si="199"/>
        <v/>
      </c>
      <c r="CQ120" s="71" t="str">
        <f t="shared" si="199"/>
        <v/>
      </c>
      <c r="CR120" s="71"/>
      <c r="CS120" s="103">
        <v>119</v>
      </c>
      <c r="CT120" s="71" t="str">
        <f t="shared" si="200"/>
        <v/>
      </c>
      <c r="CU120" s="71" t="str">
        <f t="shared" si="200"/>
        <v/>
      </c>
      <c r="CV120" s="71" t="str">
        <f t="shared" si="200"/>
        <v/>
      </c>
      <c r="CW120" s="71" t="str">
        <f t="shared" si="200"/>
        <v/>
      </c>
      <c r="CX120" s="71" t="str">
        <f t="shared" si="200"/>
        <v/>
      </c>
      <c r="CY120" s="71" t="str">
        <f t="shared" si="200"/>
        <v/>
      </c>
      <c r="CZ120" s="71" t="str">
        <f t="shared" si="200"/>
        <v/>
      </c>
      <c r="DA120" s="71" t="str">
        <f t="shared" si="200"/>
        <v/>
      </c>
      <c r="DB120" s="71" t="str">
        <f t="shared" si="200"/>
        <v/>
      </c>
      <c r="DC120" s="72" t="str">
        <f t="shared" si="200"/>
        <v/>
      </c>
    </row>
    <row r="121" spans="1:107" x14ac:dyDescent="0.35">
      <c r="A121" s="52">
        <v>74</v>
      </c>
      <c r="B121" s="52">
        <v>120</v>
      </c>
      <c r="C121" s="52">
        <v>4</v>
      </c>
      <c r="D121" s="52" t="s">
        <v>364</v>
      </c>
      <c r="E121" s="80" t="s">
        <v>365</v>
      </c>
      <c r="F121" s="55">
        <v>0.32</v>
      </c>
      <c r="G121" s="53">
        <v>64</v>
      </c>
      <c r="H121" s="76">
        <f t="shared" si="128"/>
        <v>20.48</v>
      </c>
      <c r="I121" s="77">
        <v>24</v>
      </c>
      <c r="J121" s="58">
        <f t="shared" si="129"/>
        <v>7.68</v>
      </c>
      <c r="K121" s="57"/>
      <c r="L121" s="58">
        <f t="shared" si="130"/>
        <v>0</v>
      </c>
      <c r="M121" s="77">
        <v>76</v>
      </c>
      <c r="N121" s="58">
        <f t="shared" si="184"/>
        <v>24.32</v>
      </c>
      <c r="O121" s="77">
        <v>76</v>
      </c>
      <c r="P121" s="58">
        <f t="shared" si="185"/>
        <v>24.32</v>
      </c>
      <c r="Q121" s="77">
        <v>76</v>
      </c>
      <c r="R121" s="58">
        <f t="shared" si="186"/>
        <v>24.32</v>
      </c>
      <c r="S121" s="77">
        <v>76</v>
      </c>
      <c r="T121" s="58">
        <f t="shared" si="187"/>
        <v>24.32</v>
      </c>
      <c r="U121" s="57">
        <v>76</v>
      </c>
      <c r="V121" s="58">
        <f t="shared" si="188"/>
        <v>24.32</v>
      </c>
      <c r="W121" s="77">
        <v>64</v>
      </c>
      <c r="X121" s="58">
        <f t="shared" si="189"/>
        <v>20.48</v>
      </c>
      <c r="Y121" s="57">
        <v>83</v>
      </c>
      <c r="Z121" s="58">
        <f t="shared" si="190"/>
        <v>26.560000000000002</v>
      </c>
      <c r="AA121" s="57">
        <v>67</v>
      </c>
      <c r="AB121" s="58">
        <f t="shared" si="191"/>
        <v>21.44</v>
      </c>
      <c r="AC121" s="57">
        <v>54</v>
      </c>
      <c r="AD121" s="58">
        <f t="shared" si="192"/>
        <v>17.28</v>
      </c>
      <c r="AE121" s="57">
        <v>35</v>
      </c>
      <c r="AF121" s="58">
        <f>PRODUCT(F121,AE121)</f>
        <v>11.200000000000001</v>
      </c>
      <c r="AG121" s="57">
        <v>49</v>
      </c>
      <c r="AH121" s="58">
        <f>PRODUCT(F121,AG121)</f>
        <v>15.68</v>
      </c>
      <c r="AI121" s="61">
        <v>39</v>
      </c>
      <c r="AJ121" s="58">
        <f>PRODUCT(F121,AI121)</f>
        <v>12.48</v>
      </c>
      <c r="AK121" s="73">
        <v>38</v>
      </c>
      <c r="AL121" s="58">
        <f t="shared" si="193"/>
        <v>12.16</v>
      </c>
      <c r="AM121" s="61">
        <v>45</v>
      </c>
      <c r="AN121" s="58">
        <f t="shared" si="194"/>
        <v>14.4</v>
      </c>
      <c r="AO121" s="61">
        <v>43</v>
      </c>
      <c r="AP121" s="58">
        <f t="shared" si="145"/>
        <v>13.76</v>
      </c>
      <c r="AQ121" s="61">
        <v>35</v>
      </c>
      <c r="AR121" s="58">
        <f t="shared" si="169"/>
        <v>11.200000000000001</v>
      </c>
      <c r="AS121" s="57">
        <v>39</v>
      </c>
      <c r="AT121" s="58">
        <f t="shared" si="170"/>
        <v>12.48</v>
      </c>
      <c r="AU121" s="57">
        <v>24</v>
      </c>
      <c r="AV121" s="58">
        <f t="shared" si="171"/>
        <v>7.68</v>
      </c>
      <c r="AW121" s="57">
        <v>24</v>
      </c>
      <c r="AX121" s="58">
        <f t="shared" si="195"/>
        <v>7.68</v>
      </c>
      <c r="AY121" s="57">
        <v>21</v>
      </c>
      <c r="AZ121" s="58">
        <f t="shared" si="173"/>
        <v>6.72</v>
      </c>
      <c r="BA121" s="57">
        <v>16</v>
      </c>
      <c r="BB121" s="58">
        <f t="shared" si="174"/>
        <v>5.12</v>
      </c>
      <c r="BC121" s="57">
        <v>12</v>
      </c>
      <c r="BD121" s="58">
        <f t="shared" si="175"/>
        <v>3.84</v>
      </c>
      <c r="BE121" s="57">
        <v>18</v>
      </c>
      <c r="BF121" s="58">
        <f t="shared" si="176"/>
        <v>5.76</v>
      </c>
      <c r="BG121" s="57">
        <v>22</v>
      </c>
      <c r="BH121" s="58">
        <f t="shared" si="177"/>
        <v>7.04</v>
      </c>
      <c r="BI121" s="57">
        <v>29</v>
      </c>
      <c r="BJ121" s="58">
        <f t="shared" si="178"/>
        <v>9.2799999999999994</v>
      </c>
      <c r="BK121" s="62">
        <f t="shared" si="181"/>
        <v>24</v>
      </c>
      <c r="BL121" s="63">
        <f t="shared" si="181"/>
        <v>7.68</v>
      </c>
      <c r="BO121" s="101"/>
      <c r="BP121" s="101"/>
      <c r="BQ121" s="101"/>
      <c r="BR121" s="102" t="s">
        <v>179</v>
      </c>
      <c r="BS121" s="102" t="s">
        <v>365</v>
      </c>
      <c r="BT121" s="102" t="s">
        <v>366</v>
      </c>
      <c r="BU121" s="37" t="s">
        <v>175</v>
      </c>
      <c r="BV121" s="66">
        <f t="shared" si="156"/>
        <v>3807.9048399999997</v>
      </c>
      <c r="BW121" s="66">
        <f t="shared" si="157"/>
        <v>921.80508109565017</v>
      </c>
      <c r="BX121" s="66">
        <f t="shared" si="160"/>
        <v>24.207671142739223</v>
      </c>
      <c r="BY121" s="67"/>
      <c r="BZ121" s="104"/>
      <c r="CA121" s="74"/>
      <c r="CD121" s="70"/>
      <c r="CE121" s="103"/>
      <c r="CF121" s="103"/>
      <c r="CG121" s="103">
        <v>120</v>
      </c>
      <c r="CH121" s="71" t="str">
        <f t="shared" si="199"/>
        <v/>
      </c>
      <c r="CI121" s="71" t="str">
        <f t="shared" si="199"/>
        <v/>
      </c>
      <c r="CJ121" s="71" t="str">
        <f t="shared" si="199"/>
        <v/>
      </c>
      <c r="CK121" s="71" t="str">
        <f t="shared" si="199"/>
        <v/>
      </c>
      <c r="CL121" s="71" t="str">
        <f t="shared" si="199"/>
        <v/>
      </c>
      <c r="CM121" s="71" t="str">
        <f t="shared" si="199"/>
        <v/>
      </c>
      <c r="CN121" s="71" t="str">
        <f t="shared" si="199"/>
        <v/>
      </c>
      <c r="CO121" s="71" t="str">
        <f t="shared" si="199"/>
        <v/>
      </c>
      <c r="CP121" s="71" t="str">
        <f t="shared" si="199"/>
        <v/>
      </c>
      <c r="CQ121" s="71" t="str">
        <f t="shared" si="199"/>
        <v/>
      </c>
      <c r="CR121" s="71"/>
      <c r="CS121" s="103">
        <v>120</v>
      </c>
      <c r="CT121" s="71" t="str">
        <f t="shared" si="200"/>
        <v/>
      </c>
      <c r="CU121" s="71" t="str">
        <f t="shared" si="200"/>
        <v/>
      </c>
      <c r="CV121" s="71" t="str">
        <f t="shared" si="200"/>
        <v/>
      </c>
      <c r="CW121" s="71" t="str">
        <f t="shared" si="200"/>
        <v/>
      </c>
      <c r="CX121" s="71" t="str">
        <f t="shared" si="200"/>
        <v/>
      </c>
      <c r="CY121" s="71" t="str">
        <f t="shared" si="200"/>
        <v/>
      </c>
      <c r="CZ121" s="71" t="str">
        <f t="shared" si="200"/>
        <v/>
      </c>
      <c r="DA121" s="71" t="str">
        <f t="shared" si="200"/>
        <v/>
      </c>
      <c r="DB121" s="71" t="str">
        <f t="shared" si="200"/>
        <v/>
      </c>
      <c r="DC121" s="72" t="str">
        <f t="shared" si="200"/>
        <v/>
      </c>
    </row>
    <row r="122" spans="1:107" x14ac:dyDescent="0.35">
      <c r="A122" s="52">
        <v>75</v>
      </c>
      <c r="B122" s="52">
        <v>121</v>
      </c>
      <c r="C122" s="52">
        <v>4</v>
      </c>
      <c r="D122" s="52" t="s">
        <v>364</v>
      </c>
      <c r="E122" s="80" t="s">
        <v>367</v>
      </c>
      <c r="F122" s="55">
        <v>0.32</v>
      </c>
      <c r="G122" s="53">
        <v>30</v>
      </c>
      <c r="H122" s="76">
        <f t="shared" si="128"/>
        <v>9.6</v>
      </c>
      <c r="I122" s="77">
        <v>11</v>
      </c>
      <c r="J122" s="58">
        <f t="shared" si="129"/>
        <v>3.52</v>
      </c>
      <c r="K122" s="57"/>
      <c r="L122" s="58">
        <f t="shared" si="130"/>
        <v>0</v>
      </c>
      <c r="M122" s="77">
        <v>44</v>
      </c>
      <c r="N122" s="58">
        <f t="shared" si="184"/>
        <v>14.08</v>
      </c>
      <c r="O122" s="77">
        <v>44</v>
      </c>
      <c r="P122" s="58">
        <f t="shared" si="185"/>
        <v>14.08</v>
      </c>
      <c r="Q122" s="77">
        <v>44</v>
      </c>
      <c r="R122" s="58">
        <f t="shared" si="186"/>
        <v>14.08</v>
      </c>
      <c r="S122" s="77">
        <v>44</v>
      </c>
      <c r="T122" s="58">
        <f t="shared" si="187"/>
        <v>14.08</v>
      </c>
      <c r="U122" s="57">
        <v>44</v>
      </c>
      <c r="V122" s="58">
        <f t="shared" si="188"/>
        <v>14.08</v>
      </c>
      <c r="W122" s="77">
        <v>30</v>
      </c>
      <c r="X122" s="58">
        <f t="shared" si="189"/>
        <v>9.6</v>
      </c>
      <c r="Y122" s="57">
        <v>10</v>
      </c>
      <c r="Z122" s="58">
        <f t="shared" si="190"/>
        <v>3.2</v>
      </c>
      <c r="AA122" s="57">
        <v>9</v>
      </c>
      <c r="AB122" s="58">
        <f t="shared" si="191"/>
        <v>2.88</v>
      </c>
      <c r="AC122" s="57">
        <v>13</v>
      </c>
      <c r="AD122" s="58">
        <f t="shared" si="192"/>
        <v>4.16</v>
      </c>
      <c r="AE122" s="57">
        <v>12</v>
      </c>
      <c r="AF122" s="58">
        <f>PRODUCT(F122,AE122)</f>
        <v>3.84</v>
      </c>
      <c r="AG122" s="57">
        <v>20</v>
      </c>
      <c r="AH122" s="58">
        <f>PRODUCT(F122,AG122)</f>
        <v>6.4</v>
      </c>
      <c r="AI122" s="61">
        <v>29</v>
      </c>
      <c r="AJ122" s="58">
        <f>PRODUCT(F122,AI122)</f>
        <v>9.2799999999999994</v>
      </c>
      <c r="AK122" s="73">
        <v>32</v>
      </c>
      <c r="AL122" s="58">
        <f t="shared" si="193"/>
        <v>10.24</v>
      </c>
      <c r="AM122" s="61">
        <v>29</v>
      </c>
      <c r="AN122" s="58">
        <f t="shared" si="194"/>
        <v>9.2799999999999994</v>
      </c>
      <c r="AO122" s="61">
        <v>26</v>
      </c>
      <c r="AP122" s="58">
        <f t="shared" si="145"/>
        <v>8.32</v>
      </c>
      <c r="AQ122" s="61">
        <v>23</v>
      </c>
      <c r="AR122" s="58">
        <f t="shared" si="169"/>
        <v>7.36</v>
      </c>
      <c r="AS122" s="57">
        <v>30</v>
      </c>
      <c r="AT122" s="58">
        <f t="shared" si="170"/>
        <v>9.6</v>
      </c>
      <c r="AU122" s="57">
        <v>21</v>
      </c>
      <c r="AV122" s="58">
        <f t="shared" si="171"/>
        <v>6.72</v>
      </c>
      <c r="AW122" s="57">
        <v>17</v>
      </c>
      <c r="AX122" s="58">
        <f t="shared" si="195"/>
        <v>5.44</v>
      </c>
      <c r="AY122" s="57">
        <v>16</v>
      </c>
      <c r="AZ122" s="58">
        <f t="shared" si="173"/>
        <v>5.12</v>
      </c>
      <c r="BA122" s="57">
        <v>12</v>
      </c>
      <c r="BB122" s="58">
        <f t="shared" si="174"/>
        <v>3.84</v>
      </c>
      <c r="BC122" s="57">
        <v>14</v>
      </c>
      <c r="BD122" s="58">
        <f t="shared" si="175"/>
        <v>4.4800000000000004</v>
      </c>
      <c r="BE122" s="57">
        <v>15</v>
      </c>
      <c r="BF122" s="58">
        <f t="shared" si="176"/>
        <v>4.8</v>
      </c>
      <c r="BG122" s="57">
        <v>16</v>
      </c>
      <c r="BH122" s="58">
        <f t="shared" si="177"/>
        <v>5.12</v>
      </c>
      <c r="BI122" s="57">
        <v>19</v>
      </c>
      <c r="BJ122" s="58">
        <f t="shared" si="178"/>
        <v>6.08</v>
      </c>
      <c r="BK122" s="62">
        <f t="shared" si="181"/>
        <v>11</v>
      </c>
      <c r="BL122" s="63">
        <f t="shared" si="181"/>
        <v>3.52</v>
      </c>
      <c r="BO122" s="101"/>
      <c r="BP122" s="101"/>
      <c r="BQ122" s="101"/>
      <c r="BR122" s="102" t="s">
        <v>179</v>
      </c>
      <c r="BS122" s="102" t="s">
        <v>367</v>
      </c>
      <c r="BT122" s="102" t="s">
        <v>368</v>
      </c>
      <c r="BU122" s="37" t="s">
        <v>175</v>
      </c>
      <c r="BV122" s="66">
        <f t="shared" si="156"/>
        <v>2759.3513333333335</v>
      </c>
      <c r="BW122" s="66">
        <f t="shared" si="157"/>
        <v>344.6428710708916</v>
      </c>
      <c r="BX122" s="66">
        <f t="shared" si="160"/>
        <v>12.489995996796768</v>
      </c>
      <c r="BY122" s="67"/>
      <c r="BZ122" s="104"/>
      <c r="CA122" s="74"/>
      <c r="CD122" s="70"/>
      <c r="CE122" s="103"/>
      <c r="CF122" s="103"/>
      <c r="CG122" s="103">
        <v>121</v>
      </c>
      <c r="CH122" s="71" t="str">
        <f t="shared" si="199"/>
        <v/>
      </c>
      <c r="CI122" s="71" t="str">
        <f t="shared" si="199"/>
        <v/>
      </c>
      <c r="CJ122" s="71" t="str">
        <f t="shared" si="199"/>
        <v/>
      </c>
      <c r="CK122" s="71" t="str">
        <f t="shared" si="199"/>
        <v/>
      </c>
      <c r="CL122" s="71" t="str">
        <f t="shared" si="199"/>
        <v/>
      </c>
      <c r="CM122" s="71" t="str">
        <f t="shared" si="199"/>
        <v/>
      </c>
      <c r="CN122" s="71" t="str">
        <f t="shared" si="199"/>
        <v/>
      </c>
      <c r="CO122" s="71" t="str">
        <f t="shared" si="199"/>
        <v/>
      </c>
      <c r="CP122" s="71" t="str">
        <f t="shared" si="199"/>
        <v/>
      </c>
      <c r="CQ122" s="71" t="str">
        <f t="shared" si="199"/>
        <v/>
      </c>
      <c r="CR122" s="71"/>
      <c r="CS122" s="103">
        <v>121</v>
      </c>
      <c r="CT122" s="71" t="str">
        <f t="shared" si="200"/>
        <v/>
      </c>
      <c r="CU122" s="71" t="str">
        <f t="shared" si="200"/>
        <v/>
      </c>
      <c r="CV122" s="71" t="str">
        <f t="shared" si="200"/>
        <v/>
      </c>
      <c r="CW122" s="71" t="str">
        <f t="shared" si="200"/>
        <v/>
      </c>
      <c r="CX122" s="71" t="str">
        <f t="shared" si="200"/>
        <v/>
      </c>
      <c r="CY122" s="71" t="str">
        <f t="shared" si="200"/>
        <v/>
      </c>
      <c r="CZ122" s="71" t="str">
        <f t="shared" si="200"/>
        <v/>
      </c>
      <c r="DA122" s="71" t="str">
        <f t="shared" si="200"/>
        <v/>
      </c>
      <c r="DB122" s="71" t="str">
        <f t="shared" si="200"/>
        <v/>
      </c>
      <c r="DC122" s="72" t="str">
        <f t="shared" si="200"/>
        <v/>
      </c>
    </row>
    <row r="123" spans="1:107" x14ac:dyDescent="0.35">
      <c r="A123" s="52">
        <v>76</v>
      </c>
      <c r="B123" s="52">
        <v>122</v>
      </c>
      <c r="C123" s="52">
        <v>4</v>
      </c>
      <c r="D123" s="52" t="s">
        <v>364</v>
      </c>
      <c r="E123" s="80" t="s">
        <v>369</v>
      </c>
      <c r="F123" s="55">
        <v>0.32</v>
      </c>
      <c r="G123" s="53">
        <v>36</v>
      </c>
      <c r="H123" s="76">
        <f t="shared" si="128"/>
        <v>11.52</v>
      </c>
      <c r="I123" s="77">
        <v>13</v>
      </c>
      <c r="J123" s="58">
        <f t="shared" si="129"/>
        <v>4.16</v>
      </c>
      <c r="K123" s="57"/>
      <c r="L123" s="58">
        <f t="shared" si="130"/>
        <v>0</v>
      </c>
      <c r="M123" s="77">
        <v>29</v>
      </c>
      <c r="N123" s="58">
        <f t="shared" si="184"/>
        <v>9.2799999999999994</v>
      </c>
      <c r="O123" s="77">
        <v>29</v>
      </c>
      <c r="P123" s="58">
        <f t="shared" si="185"/>
        <v>9.2799999999999994</v>
      </c>
      <c r="Q123" s="77">
        <v>29</v>
      </c>
      <c r="R123" s="58">
        <f t="shared" si="186"/>
        <v>9.2799999999999994</v>
      </c>
      <c r="S123" s="77">
        <v>29</v>
      </c>
      <c r="T123" s="58">
        <f t="shared" si="187"/>
        <v>9.2799999999999994</v>
      </c>
      <c r="U123" s="57">
        <v>29</v>
      </c>
      <c r="V123" s="58">
        <f t="shared" si="188"/>
        <v>9.2799999999999994</v>
      </c>
      <c r="W123" s="77">
        <v>36</v>
      </c>
      <c r="X123" s="58">
        <f t="shared" si="189"/>
        <v>11.52</v>
      </c>
      <c r="Y123" s="57">
        <v>18</v>
      </c>
      <c r="Z123" s="58">
        <f t="shared" si="190"/>
        <v>5.76</v>
      </c>
      <c r="AA123" s="57">
        <v>18</v>
      </c>
      <c r="AB123" s="58">
        <f t="shared" si="191"/>
        <v>5.76</v>
      </c>
      <c r="AC123" s="57">
        <v>22</v>
      </c>
      <c r="AD123" s="58">
        <f t="shared" si="192"/>
        <v>7.04</v>
      </c>
      <c r="AE123" s="57">
        <v>21</v>
      </c>
      <c r="AF123" s="58">
        <f>PRODUCT(F123,AE123)</f>
        <v>6.72</v>
      </c>
      <c r="AG123" s="57">
        <v>30</v>
      </c>
      <c r="AH123" s="58">
        <f>PRODUCT(F123,AG123)</f>
        <v>9.6</v>
      </c>
      <c r="AI123" s="61">
        <v>23</v>
      </c>
      <c r="AJ123" s="58">
        <f>PRODUCT(F123,AI123)</f>
        <v>7.36</v>
      </c>
      <c r="AK123" s="73">
        <v>25</v>
      </c>
      <c r="AL123" s="58">
        <f t="shared" si="193"/>
        <v>8</v>
      </c>
      <c r="AM123" s="61">
        <v>24</v>
      </c>
      <c r="AN123" s="58">
        <f t="shared" si="194"/>
        <v>7.68</v>
      </c>
      <c r="AO123" s="61">
        <v>25</v>
      </c>
      <c r="AP123" s="58">
        <f t="shared" si="145"/>
        <v>8</v>
      </c>
      <c r="AQ123" s="61">
        <v>26</v>
      </c>
      <c r="AR123" s="58">
        <f t="shared" si="169"/>
        <v>8.32</v>
      </c>
      <c r="AS123" s="57">
        <v>26</v>
      </c>
      <c r="AT123" s="58">
        <f t="shared" si="170"/>
        <v>8.32</v>
      </c>
      <c r="AU123" s="57">
        <v>24</v>
      </c>
      <c r="AV123" s="58">
        <f t="shared" si="171"/>
        <v>7.68</v>
      </c>
      <c r="AW123" s="57">
        <v>28</v>
      </c>
      <c r="AX123" s="58">
        <f t="shared" si="195"/>
        <v>8.9600000000000009</v>
      </c>
      <c r="AY123" s="57">
        <v>25</v>
      </c>
      <c r="AZ123" s="58">
        <f t="shared" si="173"/>
        <v>8</v>
      </c>
      <c r="BA123" s="57">
        <v>27</v>
      </c>
      <c r="BB123" s="58">
        <f t="shared" si="174"/>
        <v>8.64</v>
      </c>
      <c r="BC123" s="57">
        <v>28</v>
      </c>
      <c r="BD123" s="58">
        <f t="shared" si="175"/>
        <v>8.9600000000000009</v>
      </c>
      <c r="BE123" s="57">
        <v>42</v>
      </c>
      <c r="BF123" s="58">
        <f t="shared" si="176"/>
        <v>13.44</v>
      </c>
      <c r="BG123" s="57">
        <v>35</v>
      </c>
      <c r="BH123" s="58">
        <f t="shared" si="177"/>
        <v>11.200000000000001</v>
      </c>
      <c r="BI123" s="57">
        <v>36</v>
      </c>
      <c r="BJ123" s="58">
        <f t="shared" si="178"/>
        <v>11.52</v>
      </c>
      <c r="BK123" s="62">
        <f t="shared" si="181"/>
        <v>13</v>
      </c>
      <c r="BL123" s="63">
        <f t="shared" si="181"/>
        <v>4.16</v>
      </c>
      <c r="BO123" s="101"/>
      <c r="BP123" s="101"/>
      <c r="BQ123" s="101"/>
      <c r="BR123" s="102" t="s">
        <v>179</v>
      </c>
      <c r="BS123" s="102" t="s">
        <v>369</v>
      </c>
      <c r="BT123" s="102" t="s">
        <v>368</v>
      </c>
      <c r="BU123" s="37" t="s">
        <v>175</v>
      </c>
      <c r="BV123" s="66">
        <f t="shared" si="156"/>
        <v>6236.1340133333333</v>
      </c>
      <c r="BW123" s="66">
        <f t="shared" si="157"/>
        <v>626.80413263447133</v>
      </c>
      <c r="BX123" s="66">
        <f t="shared" si="160"/>
        <v>10.051165213805795</v>
      </c>
      <c r="BY123" s="67"/>
      <c r="BZ123" s="104"/>
      <c r="CA123" s="74"/>
      <c r="CD123" s="70"/>
      <c r="CE123" s="103"/>
      <c r="CF123" s="103"/>
      <c r="CG123" s="103"/>
      <c r="CH123" s="71"/>
      <c r="CI123" s="71"/>
      <c r="CJ123" s="71"/>
      <c r="CK123" s="71"/>
      <c r="CL123" s="71"/>
      <c r="CM123" s="71"/>
      <c r="CN123" s="71"/>
      <c r="CO123" s="71"/>
      <c r="CP123" s="71"/>
      <c r="CQ123" s="71"/>
      <c r="CR123" s="71"/>
      <c r="CS123" s="103"/>
      <c r="CT123" s="71"/>
      <c r="CU123" s="71"/>
      <c r="CV123" s="71"/>
      <c r="CW123" s="71"/>
      <c r="CX123" s="71"/>
      <c r="CY123" s="71"/>
      <c r="CZ123" s="71"/>
      <c r="DA123" s="71"/>
      <c r="DB123" s="71"/>
      <c r="DC123" s="72"/>
    </row>
    <row r="124" spans="1:107" x14ac:dyDescent="0.35">
      <c r="A124" s="52">
        <v>77</v>
      </c>
      <c r="B124" s="52">
        <v>123</v>
      </c>
      <c r="C124" s="52">
        <v>4</v>
      </c>
      <c r="D124" s="52" t="s">
        <v>364</v>
      </c>
      <c r="E124" s="80" t="s">
        <v>370</v>
      </c>
      <c r="F124" s="55">
        <v>0.32</v>
      </c>
      <c r="G124" s="53">
        <v>58</v>
      </c>
      <c r="H124" s="76">
        <f t="shared" si="128"/>
        <v>18.559999999999999</v>
      </c>
      <c r="I124" s="77">
        <v>21</v>
      </c>
      <c r="J124" s="58">
        <f t="shared" si="129"/>
        <v>6.72</v>
      </c>
      <c r="K124" s="57"/>
      <c r="L124" s="58">
        <f t="shared" si="130"/>
        <v>0</v>
      </c>
      <c r="M124" s="77">
        <v>46</v>
      </c>
      <c r="N124" s="58">
        <f t="shared" si="184"/>
        <v>14.72</v>
      </c>
      <c r="O124" s="77">
        <v>46</v>
      </c>
      <c r="P124" s="58">
        <f t="shared" si="185"/>
        <v>14.72</v>
      </c>
      <c r="Q124" s="77">
        <v>46</v>
      </c>
      <c r="R124" s="58">
        <f t="shared" si="186"/>
        <v>14.72</v>
      </c>
      <c r="S124" s="77">
        <v>46</v>
      </c>
      <c r="T124" s="58">
        <f t="shared" si="187"/>
        <v>14.72</v>
      </c>
      <c r="U124" s="57">
        <v>46</v>
      </c>
      <c r="V124" s="58">
        <f t="shared" si="188"/>
        <v>14.72</v>
      </c>
      <c r="W124" s="77">
        <v>58</v>
      </c>
      <c r="X124" s="58">
        <f t="shared" si="189"/>
        <v>18.559999999999999</v>
      </c>
      <c r="Y124" s="57">
        <v>24</v>
      </c>
      <c r="Z124" s="58">
        <f t="shared" si="190"/>
        <v>7.68</v>
      </c>
      <c r="AA124" s="57">
        <v>27</v>
      </c>
      <c r="AB124" s="58">
        <f t="shared" si="191"/>
        <v>8.64</v>
      </c>
      <c r="AC124" s="57">
        <v>27</v>
      </c>
      <c r="AD124" s="58">
        <f t="shared" si="192"/>
        <v>8.64</v>
      </c>
      <c r="AE124" s="57">
        <v>23</v>
      </c>
      <c r="AF124" s="58">
        <f>PRODUCT(F124,AE124)</f>
        <v>7.36</v>
      </c>
      <c r="AG124" s="57">
        <v>28</v>
      </c>
      <c r="AH124" s="58">
        <f>PRODUCT(F124,AG124)</f>
        <v>8.9600000000000009</v>
      </c>
      <c r="AI124" s="61">
        <v>29</v>
      </c>
      <c r="AJ124" s="58">
        <f>PRODUCT(F124,AI124)</f>
        <v>9.2799999999999994</v>
      </c>
      <c r="AK124" s="73">
        <v>28</v>
      </c>
      <c r="AL124" s="58">
        <f t="shared" si="193"/>
        <v>8.9600000000000009</v>
      </c>
      <c r="AM124" s="61">
        <v>34</v>
      </c>
      <c r="AN124" s="58">
        <f t="shared" si="194"/>
        <v>10.88</v>
      </c>
      <c r="AO124" s="61">
        <v>32</v>
      </c>
      <c r="AP124" s="58">
        <f t="shared" si="145"/>
        <v>10.24</v>
      </c>
      <c r="AQ124" s="61">
        <v>34</v>
      </c>
      <c r="AR124" s="58">
        <f t="shared" si="169"/>
        <v>10.88</v>
      </c>
      <c r="AS124" s="57">
        <v>35</v>
      </c>
      <c r="AT124" s="58">
        <f t="shared" si="170"/>
        <v>11.200000000000001</v>
      </c>
      <c r="AU124" s="57">
        <v>28</v>
      </c>
      <c r="AV124" s="58">
        <f t="shared" si="171"/>
        <v>8.9600000000000009</v>
      </c>
      <c r="AW124" s="57">
        <v>33</v>
      </c>
      <c r="AX124" s="58">
        <f t="shared" si="195"/>
        <v>10.56</v>
      </c>
      <c r="AY124" s="57">
        <v>28</v>
      </c>
      <c r="AZ124" s="58">
        <f t="shared" si="173"/>
        <v>8.9600000000000009</v>
      </c>
      <c r="BA124" s="57">
        <v>22</v>
      </c>
      <c r="BB124" s="58">
        <f t="shared" si="174"/>
        <v>7.04</v>
      </c>
      <c r="BC124" s="57">
        <v>21</v>
      </c>
      <c r="BD124" s="58">
        <f t="shared" si="175"/>
        <v>6.72</v>
      </c>
      <c r="BE124" s="57">
        <v>28</v>
      </c>
      <c r="BF124" s="58">
        <f t="shared" si="176"/>
        <v>8.9600000000000009</v>
      </c>
      <c r="BG124" s="57">
        <v>34</v>
      </c>
      <c r="BH124" s="58">
        <f t="shared" si="177"/>
        <v>10.88</v>
      </c>
      <c r="BI124" s="57">
        <v>25</v>
      </c>
      <c r="BJ124" s="58">
        <f t="shared" si="178"/>
        <v>8</v>
      </c>
      <c r="BK124" s="62">
        <f t="shared" si="181"/>
        <v>21</v>
      </c>
      <c r="BL124" s="63">
        <f t="shared" si="181"/>
        <v>6.72</v>
      </c>
      <c r="BO124" s="101"/>
      <c r="BP124" s="101"/>
      <c r="BQ124" s="101"/>
      <c r="BR124" s="102" t="s">
        <v>179</v>
      </c>
      <c r="BS124" s="102" t="s">
        <v>370</v>
      </c>
      <c r="BT124" s="102" t="s">
        <v>371</v>
      </c>
      <c r="BU124" s="37" t="s">
        <v>175</v>
      </c>
      <c r="BV124" s="66">
        <f t="shared" si="156"/>
        <v>4801.2713199999998</v>
      </c>
      <c r="BW124" s="66">
        <f t="shared" si="157"/>
        <v>758.69618123863938</v>
      </c>
      <c r="BX124" s="66">
        <f t="shared" si="160"/>
        <v>15.801985155020137</v>
      </c>
      <c r="BY124" s="67"/>
      <c r="BZ124" s="104"/>
      <c r="CA124" s="74"/>
      <c r="CD124" s="70"/>
      <c r="CE124" s="103"/>
      <c r="CF124" s="103"/>
      <c r="CG124" s="103"/>
      <c r="CH124" s="71"/>
      <c r="CI124" s="71"/>
      <c r="CJ124" s="71"/>
      <c r="CK124" s="71"/>
      <c r="CL124" s="71"/>
      <c r="CM124" s="71"/>
      <c r="CN124" s="71"/>
      <c r="CO124" s="71"/>
      <c r="CP124" s="71"/>
      <c r="CQ124" s="71"/>
      <c r="CR124" s="71"/>
      <c r="CS124" s="103"/>
      <c r="CT124" s="71"/>
      <c r="CU124" s="71"/>
      <c r="CV124" s="71"/>
      <c r="CW124" s="71"/>
      <c r="CX124" s="71"/>
      <c r="CY124" s="71"/>
      <c r="CZ124" s="71"/>
      <c r="DA124" s="71"/>
      <c r="DB124" s="71"/>
      <c r="DC124" s="72"/>
    </row>
    <row r="125" spans="1:107" x14ac:dyDescent="0.35">
      <c r="A125" s="52">
        <v>91</v>
      </c>
      <c r="B125" s="52">
        <v>124</v>
      </c>
      <c r="C125" s="52">
        <v>7</v>
      </c>
      <c r="D125" s="52">
        <v>1</v>
      </c>
      <c r="E125" s="80" t="s">
        <v>372</v>
      </c>
      <c r="F125" s="55">
        <v>0.83</v>
      </c>
      <c r="G125" s="53">
        <v>33</v>
      </c>
      <c r="H125" s="76">
        <f t="shared" si="128"/>
        <v>27.389999999999997</v>
      </c>
      <c r="I125" s="77">
        <v>13</v>
      </c>
      <c r="J125" s="58">
        <f t="shared" si="129"/>
        <v>10.79</v>
      </c>
      <c r="K125" s="57">
        <f>G125</f>
        <v>33</v>
      </c>
      <c r="L125" s="58">
        <f t="shared" si="130"/>
        <v>27.389999999999997</v>
      </c>
      <c r="M125" s="77">
        <v>33</v>
      </c>
      <c r="N125" s="58">
        <f>SUM(M125)*F125</f>
        <v>27.389999999999997</v>
      </c>
      <c r="O125" s="77">
        <v>33</v>
      </c>
      <c r="P125" s="58">
        <f>SUM(O125)*F125</f>
        <v>27.389999999999997</v>
      </c>
      <c r="Q125" s="77">
        <v>33</v>
      </c>
      <c r="R125" s="58">
        <f>SUM(Q125)*F125</f>
        <v>27.389999999999997</v>
      </c>
      <c r="S125" s="77">
        <v>33</v>
      </c>
      <c r="T125" s="58">
        <f>SUM(S125)*F125</f>
        <v>27.389999999999997</v>
      </c>
      <c r="U125" s="57">
        <v>33</v>
      </c>
      <c r="V125" s="58">
        <f t="shared" si="188"/>
        <v>27.389999999999997</v>
      </c>
      <c r="W125" s="77">
        <v>33</v>
      </c>
      <c r="X125" s="58">
        <f t="shared" si="189"/>
        <v>27.389999999999997</v>
      </c>
      <c r="Y125" s="57">
        <v>33</v>
      </c>
      <c r="Z125" s="58">
        <f t="shared" si="190"/>
        <v>27.389999999999997</v>
      </c>
      <c r="AA125" s="57">
        <v>33</v>
      </c>
      <c r="AB125" s="58">
        <f t="shared" si="191"/>
        <v>27.389999999999997</v>
      </c>
      <c r="AC125" s="57">
        <v>33</v>
      </c>
      <c r="AD125" s="58">
        <f t="shared" si="192"/>
        <v>27.389999999999997</v>
      </c>
      <c r="AE125" s="57">
        <v>33</v>
      </c>
      <c r="AF125" s="58">
        <f>PRODUCT(F125,AE125)</f>
        <v>27.389999999999997</v>
      </c>
      <c r="AG125" s="57">
        <v>33</v>
      </c>
      <c r="AH125" s="58">
        <f>PRODUCT(F125,AG125)</f>
        <v>27.389999999999997</v>
      </c>
      <c r="AI125" s="61">
        <v>33</v>
      </c>
      <c r="AJ125" s="58">
        <f>PRODUCT(F125,AI125)</f>
        <v>27.389999999999997</v>
      </c>
      <c r="AK125" s="73">
        <v>48</v>
      </c>
      <c r="AL125" s="58">
        <f>PRODUCT(F125*AK125)</f>
        <v>39.839999999999996</v>
      </c>
      <c r="AM125" s="61">
        <v>61</v>
      </c>
      <c r="AN125" s="58">
        <f>F125*AM125</f>
        <v>50.629999999999995</v>
      </c>
      <c r="AO125" s="61">
        <v>56</v>
      </c>
      <c r="AP125" s="58">
        <f t="shared" si="145"/>
        <v>46.48</v>
      </c>
      <c r="AQ125" s="61">
        <v>25</v>
      </c>
      <c r="AR125" s="58">
        <f>$F125*AQ125</f>
        <v>20.75</v>
      </c>
      <c r="AS125" s="57">
        <v>8.5</v>
      </c>
      <c r="AT125" s="58">
        <f>$F125*AS125</f>
        <v>7.0549999999999997</v>
      </c>
      <c r="AU125" s="57">
        <v>8.75</v>
      </c>
      <c r="AV125" s="58">
        <f>$F125*AU125</f>
        <v>7.2624999999999993</v>
      </c>
      <c r="AW125" s="57">
        <v>8.84</v>
      </c>
      <c r="AX125" s="58">
        <f>$F125*AW125</f>
        <v>7.3371999999999993</v>
      </c>
      <c r="AY125" s="57">
        <v>8.77</v>
      </c>
      <c r="AZ125" s="58">
        <f>$F125*AY125</f>
        <v>7.2790999999999997</v>
      </c>
      <c r="BA125" s="57">
        <v>8</v>
      </c>
      <c r="BB125" s="58">
        <f>$F125*BA125</f>
        <v>6.64</v>
      </c>
      <c r="BC125" s="57">
        <v>8.56</v>
      </c>
      <c r="BD125" s="58">
        <f>$F125*BC125</f>
        <v>7.1048</v>
      </c>
      <c r="BE125" s="57">
        <v>8.36</v>
      </c>
      <c r="BF125" s="58">
        <f>$F125*BE125</f>
        <v>6.9387999999999996</v>
      </c>
      <c r="BG125" s="57">
        <v>9.6750000000000025</v>
      </c>
      <c r="BH125" s="58">
        <f>$F125*BG125</f>
        <v>8.0302500000000023</v>
      </c>
      <c r="BI125" s="57">
        <v>12.82</v>
      </c>
      <c r="BJ125" s="58">
        <f>$F125*BI125</f>
        <v>10.640599999999999</v>
      </c>
      <c r="BK125" s="62">
        <f t="shared" si="181"/>
        <v>13</v>
      </c>
      <c r="BL125" s="63">
        <f t="shared" si="181"/>
        <v>10.79</v>
      </c>
      <c r="BO125" s="101"/>
      <c r="BP125" s="101"/>
      <c r="BQ125" s="101"/>
      <c r="BR125" s="102" t="s">
        <v>254</v>
      </c>
      <c r="BS125" s="102" t="s">
        <v>372</v>
      </c>
      <c r="BT125" s="102" t="s">
        <v>373</v>
      </c>
      <c r="BU125" s="37" t="s">
        <v>175</v>
      </c>
      <c r="BV125" s="66">
        <f t="shared" si="156"/>
        <v>1702.7957078000002</v>
      </c>
      <c r="BW125" s="66">
        <f t="shared" si="157"/>
        <v>379.41943747937387</v>
      </c>
      <c r="BX125" s="66">
        <f t="shared" si="160"/>
        <v>22.282146692134962</v>
      </c>
      <c r="BY125" s="67"/>
      <c r="BZ125" s="104"/>
      <c r="CA125" s="74"/>
      <c r="CD125" s="70"/>
      <c r="CE125" s="103"/>
      <c r="CF125" s="103"/>
      <c r="CG125" s="103"/>
      <c r="CH125" s="71"/>
      <c r="CI125" s="71"/>
      <c r="CJ125" s="71"/>
      <c r="CK125" s="71"/>
      <c r="CL125" s="71"/>
      <c r="CM125" s="71"/>
      <c r="CN125" s="71"/>
      <c r="CO125" s="71"/>
      <c r="CP125" s="71"/>
      <c r="CQ125" s="71"/>
      <c r="CR125" s="71"/>
      <c r="CS125" s="103"/>
      <c r="CT125" s="71"/>
      <c r="CU125" s="71"/>
      <c r="CV125" s="71"/>
      <c r="CW125" s="71"/>
      <c r="CX125" s="71"/>
      <c r="CY125" s="71"/>
      <c r="CZ125" s="71"/>
      <c r="DA125" s="71"/>
      <c r="DB125" s="71"/>
      <c r="DC125" s="72"/>
    </row>
    <row r="126" spans="1:107" x14ac:dyDescent="0.3">
      <c r="H126" s="79"/>
      <c r="I126" s="37"/>
      <c r="J126" s="75"/>
      <c r="K126" s="37"/>
      <c r="L126" s="75"/>
      <c r="M126" s="37"/>
      <c r="N126" s="75"/>
      <c r="O126" s="37"/>
      <c r="P126" s="75"/>
      <c r="Q126" s="37"/>
      <c r="R126" s="75"/>
      <c r="S126" s="37"/>
      <c r="T126" s="75"/>
      <c r="U126" s="61"/>
      <c r="V126" s="75"/>
      <c r="W126" s="37"/>
      <c r="X126" s="75"/>
      <c r="Y126" s="61"/>
      <c r="Z126" s="75"/>
      <c r="AA126" s="61"/>
      <c r="AB126" s="75"/>
      <c r="AC126" s="61"/>
      <c r="AD126" s="75"/>
      <c r="AE126" s="61"/>
      <c r="AF126" s="75"/>
      <c r="AG126" s="61"/>
      <c r="AH126" s="75"/>
      <c r="AJ126" s="75"/>
      <c r="AL126" s="75"/>
      <c r="AN126" s="75"/>
      <c r="AP126" s="75"/>
      <c r="AR126" s="75"/>
      <c r="AS126" s="61"/>
      <c r="AT126" s="75"/>
      <c r="AU126" s="61"/>
      <c r="AV126" s="75"/>
      <c r="AW126" s="61"/>
      <c r="AX126" s="75"/>
      <c r="AY126" s="61"/>
      <c r="AZ126" s="75"/>
      <c r="BA126" s="61"/>
      <c r="BB126" s="75"/>
      <c r="BC126" s="61"/>
      <c r="BD126" s="75"/>
      <c r="BE126" s="61"/>
      <c r="BF126" s="75"/>
      <c r="BG126" s="61"/>
      <c r="BH126" s="75"/>
      <c r="BJ126" s="75"/>
      <c r="BK126" s="80"/>
      <c r="BM126" s="51"/>
      <c r="BN126" s="51"/>
      <c r="BY126" s="67"/>
      <c r="BZ126" s="104"/>
      <c r="CA126" s="106"/>
      <c r="CD126" s="70"/>
      <c r="CE126" s="103"/>
      <c r="CF126" s="103"/>
      <c r="CG126" s="103"/>
      <c r="CH126" s="103"/>
      <c r="CI126" s="103"/>
      <c r="CJ126" s="103"/>
      <c r="CK126" s="103"/>
      <c r="CL126" s="103"/>
      <c r="CM126" s="107"/>
      <c r="CN126" s="107"/>
      <c r="CO126" s="107"/>
      <c r="CP126" s="107"/>
      <c r="CQ126" s="107"/>
      <c r="CR126" s="107"/>
      <c r="CS126" s="103"/>
      <c r="CT126" s="103"/>
      <c r="CU126" s="103"/>
      <c r="CV126" s="103"/>
      <c r="CW126" s="103"/>
      <c r="CX126" s="103"/>
      <c r="CY126" s="107"/>
      <c r="CZ126" s="107"/>
      <c r="DA126" s="107"/>
      <c r="DB126" s="107"/>
      <c r="DC126" s="108"/>
    </row>
    <row r="127" spans="1:107" x14ac:dyDescent="0.3">
      <c r="H127" s="79"/>
      <c r="I127" s="37"/>
      <c r="J127" s="75"/>
      <c r="K127" s="37"/>
      <c r="L127" s="75"/>
      <c r="M127" s="37"/>
      <c r="N127" s="75"/>
      <c r="O127" s="37"/>
      <c r="P127" s="75"/>
      <c r="Q127" s="37"/>
      <c r="R127" s="75"/>
      <c r="S127" s="37"/>
      <c r="T127" s="75"/>
      <c r="U127" s="61"/>
      <c r="V127" s="75"/>
      <c r="W127" s="37"/>
      <c r="X127" s="75"/>
      <c r="Y127" s="61"/>
      <c r="Z127" s="75"/>
      <c r="AA127" s="61"/>
      <c r="AB127" s="75"/>
      <c r="AC127" s="61"/>
      <c r="AD127" s="75"/>
      <c r="AE127" s="61"/>
      <c r="AF127" s="75"/>
      <c r="AG127" s="61"/>
      <c r="AH127" s="75"/>
      <c r="AJ127" s="75"/>
      <c r="AL127" s="75"/>
      <c r="AN127" s="75"/>
      <c r="AP127" s="75"/>
      <c r="AR127" s="75"/>
      <c r="AS127" s="61"/>
      <c r="AT127" s="75"/>
      <c r="AU127" s="61"/>
      <c r="AV127" s="75"/>
      <c r="AW127" s="61"/>
      <c r="AX127" s="75"/>
      <c r="AY127" s="61"/>
      <c r="AZ127" s="75"/>
      <c r="BA127" s="61"/>
      <c r="BB127" s="75"/>
      <c r="BC127" s="61"/>
      <c r="BD127" s="75"/>
      <c r="BE127" s="61"/>
      <c r="BF127" s="75"/>
      <c r="BG127" s="61"/>
      <c r="BH127" s="75"/>
      <c r="BJ127" s="75"/>
      <c r="BK127" s="80"/>
      <c r="BM127" s="51"/>
      <c r="BN127" s="51"/>
      <c r="BY127" s="67"/>
      <c r="BZ127" s="104"/>
      <c r="CA127" s="106"/>
      <c r="CD127" s="70"/>
      <c r="CE127" s="103"/>
      <c r="CF127" s="103"/>
      <c r="CG127" s="103"/>
      <c r="CH127" s="103"/>
      <c r="CI127" s="103"/>
      <c r="CJ127" s="103"/>
      <c r="CK127" s="103"/>
      <c r="CL127" s="103"/>
      <c r="CM127" s="107"/>
      <c r="CN127" s="107"/>
      <c r="CO127" s="107"/>
      <c r="CP127" s="107"/>
      <c r="CQ127" s="107"/>
      <c r="CR127" s="107"/>
      <c r="CS127" s="103"/>
      <c r="CT127" s="103"/>
      <c r="CU127" s="103"/>
      <c r="CV127" s="103"/>
      <c r="CW127" s="103"/>
      <c r="CX127" s="103"/>
      <c r="CY127" s="107"/>
      <c r="CZ127" s="107"/>
      <c r="DA127" s="107"/>
      <c r="DB127" s="107"/>
      <c r="DC127" s="108"/>
    </row>
    <row r="128" spans="1:107" x14ac:dyDescent="0.3">
      <c r="H128" s="79"/>
      <c r="I128" s="37"/>
      <c r="J128" s="75"/>
      <c r="K128" s="37"/>
      <c r="L128" s="75"/>
      <c r="M128" s="37"/>
      <c r="N128" s="75"/>
      <c r="O128" s="37"/>
      <c r="P128" s="75"/>
      <c r="Q128" s="37"/>
      <c r="R128" s="75"/>
      <c r="S128" s="37"/>
      <c r="T128" s="75"/>
      <c r="U128" s="61"/>
      <c r="V128" s="75"/>
      <c r="W128" s="37"/>
      <c r="X128" s="75"/>
      <c r="Y128" s="61"/>
      <c r="Z128" s="75"/>
      <c r="AA128" s="61"/>
      <c r="AB128" s="75"/>
      <c r="AC128" s="61"/>
      <c r="AD128" s="75"/>
      <c r="AE128" s="61"/>
      <c r="AF128" s="75"/>
      <c r="AG128" s="61"/>
      <c r="AH128" s="75"/>
      <c r="AJ128" s="75"/>
      <c r="AL128" s="75"/>
      <c r="AN128" s="75"/>
      <c r="AP128" s="75"/>
      <c r="AR128" s="75"/>
      <c r="AS128" s="61"/>
      <c r="AT128" s="75"/>
      <c r="AU128" s="61"/>
      <c r="AV128" s="75"/>
      <c r="AW128" s="61"/>
      <c r="AX128" s="75"/>
      <c r="AY128" s="61"/>
      <c r="AZ128" s="75"/>
      <c r="BA128" s="61"/>
      <c r="BB128" s="75"/>
      <c r="BC128" s="61"/>
      <c r="BD128" s="75"/>
      <c r="BE128" s="61"/>
      <c r="BF128" s="75"/>
      <c r="BG128" s="61"/>
      <c r="BH128" s="75"/>
      <c r="BJ128" s="75"/>
      <c r="BK128" s="80"/>
      <c r="BM128" s="51"/>
      <c r="BN128" s="51"/>
      <c r="BY128" s="67"/>
      <c r="BZ128" s="104"/>
      <c r="CA128" s="106"/>
      <c r="CD128" s="70"/>
      <c r="CE128" s="103"/>
      <c r="CF128" s="103"/>
      <c r="CG128" s="103"/>
      <c r="CH128" s="103"/>
      <c r="CI128" s="103"/>
      <c r="CJ128" s="103"/>
      <c r="CK128" s="103"/>
      <c r="CL128" s="103"/>
      <c r="CM128" s="107"/>
      <c r="CN128" s="107"/>
      <c r="CO128" s="107"/>
      <c r="CP128" s="107"/>
      <c r="CQ128" s="107"/>
      <c r="CR128" s="107"/>
      <c r="CS128" s="103"/>
      <c r="CT128" s="103"/>
      <c r="CU128" s="103"/>
      <c r="CV128" s="103"/>
      <c r="CW128" s="103"/>
      <c r="CX128" s="103"/>
      <c r="CY128" s="107"/>
      <c r="CZ128" s="107"/>
      <c r="DA128" s="107"/>
      <c r="DB128" s="107"/>
      <c r="DC128" s="108"/>
    </row>
    <row r="129" spans="8:107" x14ac:dyDescent="0.3">
      <c r="H129" s="79"/>
      <c r="I129" s="37"/>
      <c r="J129" s="75"/>
      <c r="K129" s="37"/>
      <c r="L129" s="75"/>
      <c r="M129" s="37"/>
      <c r="N129" s="75"/>
      <c r="O129" s="37"/>
      <c r="P129" s="75"/>
      <c r="Q129" s="37"/>
      <c r="R129" s="75"/>
      <c r="S129" s="37"/>
      <c r="T129" s="75"/>
      <c r="U129" s="61"/>
      <c r="V129" s="75"/>
      <c r="W129" s="37"/>
      <c r="X129" s="75"/>
      <c r="Y129" s="61"/>
      <c r="Z129" s="75"/>
      <c r="AA129" s="61"/>
      <c r="AB129" s="75"/>
      <c r="AC129" s="61"/>
      <c r="AD129" s="75"/>
      <c r="AE129" s="61"/>
      <c r="AF129" s="75"/>
      <c r="AG129" s="61"/>
      <c r="AH129" s="75"/>
      <c r="AJ129" s="75"/>
      <c r="AL129" s="75"/>
      <c r="AN129" s="75"/>
      <c r="AP129" s="75"/>
      <c r="AR129" s="75"/>
      <c r="AS129" s="61"/>
      <c r="AT129" s="75"/>
      <c r="AU129" s="61"/>
      <c r="AV129" s="75"/>
      <c r="AW129" s="61"/>
      <c r="AX129" s="75"/>
      <c r="AY129" s="61"/>
      <c r="AZ129" s="75"/>
      <c r="BA129" s="61"/>
      <c r="BB129" s="75"/>
      <c r="BC129" s="61"/>
      <c r="BD129" s="75"/>
      <c r="BE129" s="61"/>
      <c r="BF129" s="75"/>
      <c r="BG129" s="61"/>
      <c r="BH129" s="75"/>
      <c r="BJ129" s="75"/>
      <c r="BK129" s="80"/>
      <c r="BM129" s="51"/>
      <c r="BN129" s="51"/>
      <c r="BY129" s="67"/>
      <c r="BZ129" s="104"/>
      <c r="CA129" s="106"/>
      <c r="CD129" s="70"/>
      <c r="CE129" s="103"/>
      <c r="CF129" s="103"/>
      <c r="CG129" s="103"/>
      <c r="CH129" s="103"/>
      <c r="CI129" s="103"/>
      <c r="CJ129" s="103"/>
      <c r="CK129" s="103"/>
      <c r="CL129" s="103"/>
      <c r="CM129" s="107"/>
      <c r="CN129" s="107"/>
      <c r="CO129" s="107"/>
      <c r="CP129" s="107"/>
      <c r="CQ129" s="107"/>
      <c r="CR129" s="107"/>
      <c r="CS129" s="103"/>
      <c r="CT129" s="103"/>
      <c r="CU129" s="103"/>
      <c r="CV129" s="103"/>
      <c r="CW129" s="103"/>
      <c r="CX129" s="103"/>
      <c r="CY129" s="107"/>
      <c r="CZ129" s="107"/>
      <c r="DA129" s="107"/>
      <c r="DB129" s="107"/>
      <c r="DC129" s="108"/>
    </row>
    <row r="130" spans="8:107" x14ac:dyDescent="0.3">
      <c r="H130" s="79"/>
      <c r="I130" s="37"/>
      <c r="J130" s="75"/>
      <c r="K130" s="37"/>
      <c r="L130" s="75"/>
      <c r="M130" s="37"/>
      <c r="N130" s="75"/>
      <c r="O130" s="37"/>
      <c r="P130" s="75"/>
      <c r="Q130" s="37"/>
      <c r="R130" s="75"/>
      <c r="S130" s="37"/>
      <c r="T130" s="75"/>
      <c r="U130" s="61"/>
      <c r="V130" s="75"/>
      <c r="W130" s="37"/>
      <c r="X130" s="75"/>
      <c r="Y130" s="61"/>
      <c r="Z130" s="75"/>
      <c r="AA130" s="61"/>
      <c r="AB130" s="75"/>
      <c r="AC130" s="61"/>
      <c r="AD130" s="75"/>
      <c r="AE130" s="61"/>
      <c r="AF130" s="75"/>
      <c r="AG130" s="61"/>
      <c r="AH130" s="75"/>
      <c r="AJ130" s="75"/>
      <c r="AL130" s="75"/>
      <c r="AN130" s="75"/>
      <c r="AP130" s="75"/>
      <c r="AR130" s="75"/>
      <c r="AS130" s="61"/>
      <c r="AT130" s="75"/>
      <c r="AU130" s="61"/>
      <c r="AV130" s="75"/>
      <c r="AW130" s="61"/>
      <c r="AX130" s="75"/>
      <c r="AY130" s="61"/>
      <c r="AZ130" s="75"/>
      <c r="BA130" s="61"/>
      <c r="BB130" s="75"/>
      <c r="BC130" s="61"/>
      <c r="BD130" s="75"/>
      <c r="BE130" s="61"/>
      <c r="BF130" s="75"/>
      <c r="BG130" s="61"/>
      <c r="BH130" s="75"/>
      <c r="BJ130" s="75"/>
      <c r="BK130" s="80"/>
      <c r="BM130" s="51"/>
      <c r="BN130" s="51"/>
      <c r="BY130" s="67"/>
      <c r="BZ130" s="104"/>
      <c r="CA130" s="106"/>
      <c r="CD130" s="70"/>
      <c r="CE130" s="103"/>
      <c r="CF130" s="103"/>
      <c r="CG130" s="103"/>
      <c r="CH130" s="103"/>
      <c r="CI130" s="103"/>
      <c r="CJ130" s="103"/>
      <c r="CK130" s="103"/>
      <c r="CL130" s="103"/>
      <c r="CM130" s="107"/>
      <c r="CN130" s="107"/>
      <c r="CO130" s="107"/>
      <c r="CP130" s="107"/>
      <c r="CQ130" s="107"/>
      <c r="CR130" s="107"/>
      <c r="CS130" s="103"/>
      <c r="CT130" s="103"/>
      <c r="CU130" s="103"/>
      <c r="CV130" s="103"/>
      <c r="CW130" s="103"/>
      <c r="CX130" s="103"/>
      <c r="CY130" s="107"/>
      <c r="CZ130" s="107"/>
      <c r="DA130" s="107"/>
      <c r="DB130" s="107"/>
      <c r="DC130" s="108"/>
    </row>
    <row r="131" spans="8:107" x14ac:dyDescent="0.3">
      <c r="H131" s="79"/>
      <c r="I131" s="37"/>
      <c r="J131" s="75"/>
      <c r="K131" s="37"/>
      <c r="L131" s="75"/>
      <c r="M131" s="37"/>
      <c r="N131" s="75"/>
      <c r="O131" s="37"/>
      <c r="P131" s="75"/>
      <c r="Q131" s="37"/>
      <c r="R131" s="75"/>
      <c r="S131" s="37"/>
      <c r="T131" s="75"/>
      <c r="U131" s="61"/>
      <c r="V131" s="75"/>
      <c r="W131" s="37"/>
      <c r="X131" s="75"/>
      <c r="Y131" s="61"/>
      <c r="Z131" s="75"/>
      <c r="AA131" s="61"/>
      <c r="AB131" s="75"/>
      <c r="AC131" s="61"/>
      <c r="AD131" s="75"/>
      <c r="AE131" s="61"/>
      <c r="AF131" s="75"/>
      <c r="AG131" s="61"/>
      <c r="AH131" s="75"/>
      <c r="AJ131" s="75"/>
      <c r="AL131" s="75"/>
      <c r="AN131" s="75"/>
      <c r="AP131" s="75"/>
      <c r="AR131" s="75"/>
      <c r="AS131" s="61"/>
      <c r="AT131" s="75"/>
      <c r="AU131" s="61"/>
      <c r="AV131" s="75"/>
      <c r="AW131" s="61"/>
      <c r="AX131" s="75"/>
      <c r="AY131" s="61"/>
      <c r="AZ131" s="75"/>
      <c r="BA131" s="61"/>
      <c r="BB131" s="75"/>
      <c r="BC131" s="61"/>
      <c r="BD131" s="75"/>
      <c r="BE131" s="61"/>
      <c r="BF131" s="75"/>
      <c r="BG131" s="61"/>
      <c r="BH131" s="75"/>
      <c r="BJ131" s="75"/>
      <c r="BK131" s="80"/>
      <c r="BM131" s="51"/>
      <c r="BN131" s="51"/>
      <c r="BY131" s="67"/>
      <c r="BZ131" s="104"/>
      <c r="CA131" s="106"/>
      <c r="CD131" s="70"/>
      <c r="CE131" s="103"/>
      <c r="CF131" s="103"/>
      <c r="CG131" s="103"/>
      <c r="CH131" s="103"/>
      <c r="CI131" s="103"/>
      <c r="CJ131" s="103"/>
      <c r="CK131" s="103"/>
      <c r="CL131" s="103"/>
      <c r="CM131" s="107"/>
      <c r="CN131" s="107"/>
      <c r="CO131" s="107"/>
      <c r="CP131" s="107"/>
      <c r="CQ131" s="107"/>
      <c r="CR131" s="107"/>
      <c r="CS131" s="103"/>
      <c r="CT131" s="103"/>
      <c r="CU131" s="103"/>
      <c r="CV131" s="103"/>
      <c r="CW131" s="103"/>
      <c r="CX131" s="103"/>
      <c r="CY131" s="107"/>
      <c r="CZ131" s="107"/>
      <c r="DA131" s="107"/>
      <c r="DB131" s="107"/>
      <c r="DC131" s="108"/>
    </row>
    <row r="132" spans="8:107" x14ac:dyDescent="0.3">
      <c r="H132" s="79"/>
      <c r="I132" s="37"/>
      <c r="J132" s="75"/>
      <c r="K132" s="37"/>
      <c r="L132" s="75"/>
      <c r="M132" s="37"/>
      <c r="N132" s="75"/>
      <c r="O132" s="37"/>
      <c r="P132" s="75"/>
      <c r="Q132" s="37"/>
      <c r="R132" s="75"/>
      <c r="S132" s="37"/>
      <c r="T132" s="75"/>
      <c r="U132" s="61"/>
      <c r="V132" s="75"/>
      <c r="W132" s="37"/>
      <c r="X132" s="75"/>
      <c r="Y132" s="61"/>
      <c r="Z132" s="75"/>
      <c r="AA132" s="61"/>
      <c r="AB132" s="75"/>
      <c r="AC132" s="61"/>
      <c r="AD132" s="75"/>
      <c r="AE132" s="61"/>
      <c r="AF132" s="75"/>
      <c r="AG132" s="61"/>
      <c r="AH132" s="75"/>
      <c r="AJ132" s="75"/>
      <c r="AL132" s="75"/>
      <c r="AN132" s="75"/>
      <c r="AP132" s="75"/>
      <c r="AR132" s="75"/>
      <c r="AS132" s="61"/>
      <c r="AT132" s="75"/>
      <c r="AU132" s="61"/>
      <c r="AV132" s="75"/>
      <c r="AW132" s="61"/>
      <c r="AX132" s="75"/>
      <c r="AY132" s="61"/>
      <c r="AZ132" s="75"/>
      <c r="BA132" s="61"/>
      <c r="BB132" s="75"/>
      <c r="BC132" s="61"/>
      <c r="BD132" s="75"/>
      <c r="BE132" s="61"/>
      <c r="BF132" s="75"/>
      <c r="BG132" s="61"/>
      <c r="BH132" s="75"/>
      <c r="BJ132" s="75"/>
      <c r="BK132" s="80"/>
      <c r="BM132" s="51"/>
      <c r="BN132" s="51"/>
      <c r="BY132" s="67"/>
      <c r="BZ132" s="104"/>
      <c r="CA132" s="106"/>
      <c r="CD132" s="70"/>
      <c r="CE132" s="103"/>
      <c r="CF132" s="103"/>
      <c r="CG132" s="103"/>
      <c r="CH132" s="103"/>
      <c r="CI132" s="103"/>
      <c r="CJ132" s="103"/>
      <c r="CK132" s="103"/>
      <c r="CL132" s="103"/>
      <c r="CM132" s="107"/>
      <c r="CN132" s="107"/>
      <c r="CO132" s="107"/>
      <c r="CP132" s="107"/>
      <c r="CQ132" s="107"/>
      <c r="CR132" s="107"/>
      <c r="CS132" s="103"/>
      <c r="CT132" s="103"/>
      <c r="CU132" s="103"/>
      <c r="CV132" s="103"/>
      <c r="CW132" s="103"/>
      <c r="CX132" s="103"/>
      <c r="CY132" s="107"/>
      <c r="CZ132" s="107"/>
      <c r="DA132" s="107"/>
      <c r="DB132" s="107"/>
      <c r="DC132" s="108"/>
    </row>
    <row r="133" spans="8:107" x14ac:dyDescent="0.3">
      <c r="H133" s="79"/>
      <c r="I133" s="37"/>
      <c r="J133" s="75"/>
      <c r="K133" s="37"/>
      <c r="L133" s="75"/>
      <c r="M133" s="37"/>
      <c r="N133" s="75"/>
      <c r="O133" s="37"/>
      <c r="P133" s="75"/>
      <c r="Q133" s="37"/>
      <c r="R133" s="75"/>
      <c r="S133" s="37"/>
      <c r="T133" s="75"/>
      <c r="U133" s="61"/>
      <c r="V133" s="75"/>
      <c r="W133" s="37"/>
      <c r="X133" s="75"/>
      <c r="Y133" s="61"/>
      <c r="Z133" s="75"/>
      <c r="AA133" s="61"/>
      <c r="AB133" s="75"/>
      <c r="AC133" s="61"/>
      <c r="AD133" s="75"/>
      <c r="AE133" s="61"/>
      <c r="AF133" s="75"/>
      <c r="AG133" s="61"/>
      <c r="AH133" s="75"/>
      <c r="AJ133" s="75"/>
      <c r="AL133" s="75"/>
      <c r="AN133" s="75"/>
      <c r="AP133" s="75"/>
      <c r="AR133" s="75"/>
      <c r="AS133" s="61"/>
      <c r="AT133" s="75"/>
      <c r="AU133" s="61"/>
      <c r="AV133" s="75"/>
      <c r="AW133" s="61"/>
      <c r="AX133" s="75"/>
      <c r="AY133" s="61"/>
      <c r="AZ133" s="75"/>
      <c r="BA133" s="61"/>
      <c r="BB133" s="75"/>
      <c r="BC133" s="61"/>
      <c r="BD133" s="75"/>
      <c r="BE133" s="61"/>
      <c r="BF133" s="75"/>
      <c r="BG133" s="61"/>
      <c r="BH133" s="75"/>
      <c r="BJ133" s="75"/>
      <c r="BK133" s="80"/>
      <c r="BM133" s="51"/>
      <c r="BN133" s="51"/>
      <c r="BY133" s="67"/>
      <c r="BZ133" s="104"/>
      <c r="CA133" s="106"/>
      <c r="CD133" s="70"/>
      <c r="CE133" s="103"/>
      <c r="CF133" s="103"/>
      <c r="CG133" s="103"/>
      <c r="CH133" s="103"/>
      <c r="CI133" s="103"/>
      <c r="CJ133" s="103"/>
      <c r="CK133" s="103"/>
      <c r="CL133" s="103"/>
      <c r="CM133" s="107"/>
      <c r="CN133" s="107"/>
      <c r="CO133" s="107"/>
      <c r="CP133" s="107"/>
      <c r="CQ133" s="107"/>
      <c r="CR133" s="107"/>
      <c r="CS133" s="103"/>
      <c r="CT133" s="103"/>
      <c r="CU133" s="103"/>
      <c r="CV133" s="103"/>
      <c r="CW133" s="103"/>
      <c r="CX133" s="103"/>
      <c r="CY133" s="107"/>
      <c r="CZ133" s="107"/>
      <c r="DA133" s="107"/>
      <c r="DB133" s="107"/>
      <c r="DC133" s="108"/>
    </row>
    <row r="134" spans="8:107" x14ac:dyDescent="0.3">
      <c r="H134" s="79"/>
      <c r="I134" s="37"/>
      <c r="J134" s="75"/>
      <c r="K134" s="37"/>
      <c r="L134" s="75"/>
      <c r="M134" s="37"/>
      <c r="N134" s="75"/>
      <c r="O134" s="37"/>
      <c r="P134" s="75"/>
      <c r="Q134" s="37"/>
      <c r="R134" s="75"/>
      <c r="S134" s="37"/>
      <c r="T134" s="75"/>
      <c r="U134" s="61"/>
      <c r="V134" s="75"/>
      <c r="W134" s="37"/>
      <c r="X134" s="75"/>
      <c r="Y134" s="61"/>
      <c r="Z134" s="75"/>
      <c r="AA134" s="61"/>
      <c r="AB134" s="75"/>
      <c r="AC134" s="61"/>
      <c r="AD134" s="75"/>
      <c r="AE134" s="61"/>
      <c r="AF134" s="75"/>
      <c r="AG134" s="61"/>
      <c r="AH134" s="75"/>
      <c r="AJ134" s="75"/>
      <c r="AL134" s="75"/>
      <c r="AN134" s="75"/>
      <c r="AP134" s="75"/>
      <c r="AR134" s="75"/>
      <c r="AS134" s="61"/>
      <c r="AT134" s="75"/>
      <c r="AU134" s="61"/>
      <c r="AV134" s="75"/>
      <c r="AW134" s="61"/>
      <c r="AX134" s="75"/>
      <c r="AY134" s="61"/>
      <c r="AZ134" s="75"/>
      <c r="BA134" s="61"/>
      <c r="BB134" s="75"/>
      <c r="BC134" s="61"/>
      <c r="BD134" s="75"/>
      <c r="BE134" s="61"/>
      <c r="BF134" s="75"/>
      <c r="BG134" s="61"/>
      <c r="BH134" s="75"/>
      <c r="BJ134" s="75"/>
      <c r="BK134" s="80"/>
      <c r="BM134" s="51"/>
      <c r="BN134" s="51"/>
      <c r="BY134" s="67"/>
      <c r="BZ134" s="104"/>
      <c r="CA134" s="106"/>
      <c r="CD134" s="70"/>
      <c r="CE134" s="103"/>
      <c r="CF134" s="103"/>
      <c r="CG134" s="103"/>
      <c r="CH134" s="103"/>
      <c r="CI134" s="103"/>
      <c r="CJ134" s="103"/>
      <c r="CK134" s="103"/>
      <c r="CL134" s="103"/>
      <c r="CM134" s="107"/>
      <c r="CN134" s="107"/>
      <c r="CO134" s="107"/>
      <c r="CP134" s="107"/>
      <c r="CQ134" s="107"/>
      <c r="CR134" s="107"/>
      <c r="CS134" s="103"/>
      <c r="CT134" s="103"/>
      <c r="CU134" s="103"/>
      <c r="CV134" s="103"/>
      <c r="CW134" s="103"/>
      <c r="CX134" s="103"/>
      <c r="CY134" s="107"/>
      <c r="CZ134" s="107"/>
      <c r="DA134" s="107"/>
      <c r="DB134" s="107"/>
      <c r="DC134" s="108"/>
    </row>
    <row r="135" spans="8:107" x14ac:dyDescent="0.3">
      <c r="H135" s="79"/>
      <c r="I135" s="37"/>
      <c r="J135" s="75"/>
      <c r="K135" s="37"/>
      <c r="L135" s="75"/>
      <c r="M135" s="37"/>
      <c r="N135" s="75"/>
      <c r="O135" s="37"/>
      <c r="P135" s="75"/>
      <c r="Q135" s="37"/>
      <c r="R135" s="75"/>
      <c r="S135" s="37"/>
      <c r="T135" s="75"/>
      <c r="U135" s="61"/>
      <c r="V135" s="75"/>
      <c r="W135" s="37"/>
      <c r="X135" s="75"/>
      <c r="Y135" s="61"/>
      <c r="Z135" s="75"/>
      <c r="AA135" s="61"/>
      <c r="AB135" s="75"/>
      <c r="AC135" s="61"/>
      <c r="AD135" s="75"/>
      <c r="AE135" s="61"/>
      <c r="AF135" s="75"/>
      <c r="AG135" s="61"/>
      <c r="AH135" s="75"/>
      <c r="AJ135" s="75"/>
      <c r="AL135" s="75"/>
      <c r="AN135" s="75"/>
      <c r="AP135" s="75"/>
      <c r="AR135" s="75"/>
      <c r="AS135" s="61"/>
      <c r="AT135" s="75"/>
      <c r="AU135" s="61"/>
      <c r="AV135" s="75"/>
      <c r="AW135" s="61"/>
      <c r="AX135" s="75"/>
      <c r="AY135" s="61"/>
      <c r="AZ135" s="75"/>
      <c r="BA135" s="61"/>
      <c r="BB135" s="75"/>
      <c r="BC135" s="61"/>
      <c r="BD135" s="75"/>
      <c r="BE135" s="61"/>
      <c r="BF135" s="75"/>
      <c r="BG135" s="61"/>
      <c r="BH135" s="75"/>
      <c r="BJ135" s="75"/>
      <c r="BK135" s="80"/>
      <c r="BM135" s="51"/>
      <c r="BN135" s="51"/>
      <c r="BY135" s="67"/>
      <c r="BZ135" s="104"/>
      <c r="CA135" s="106"/>
      <c r="CD135" s="70"/>
      <c r="CE135" s="103"/>
      <c r="CF135" s="103"/>
      <c r="CG135" s="103"/>
      <c r="CH135" s="103"/>
      <c r="CI135" s="103"/>
      <c r="CJ135" s="103"/>
      <c r="CK135" s="103"/>
      <c r="CL135" s="103"/>
      <c r="CM135" s="107"/>
      <c r="CN135" s="107"/>
      <c r="CO135" s="107"/>
      <c r="CP135" s="107"/>
      <c r="CQ135" s="107"/>
      <c r="CR135" s="107"/>
      <c r="CS135" s="103"/>
      <c r="CT135" s="103"/>
      <c r="CU135" s="103"/>
      <c r="CV135" s="103"/>
      <c r="CW135" s="103"/>
      <c r="CX135" s="103"/>
      <c r="CY135" s="107"/>
      <c r="CZ135" s="107"/>
      <c r="DA135" s="107"/>
      <c r="DB135" s="107"/>
      <c r="DC135" s="108"/>
    </row>
    <row r="136" spans="8:107" x14ac:dyDescent="0.3">
      <c r="H136" s="79"/>
      <c r="I136" s="37"/>
      <c r="J136" s="75"/>
      <c r="K136" s="37"/>
      <c r="L136" s="75"/>
      <c r="M136" s="37"/>
      <c r="N136" s="75"/>
      <c r="O136" s="37"/>
      <c r="P136" s="75"/>
      <c r="Q136" s="37"/>
      <c r="R136" s="75"/>
      <c r="S136" s="37"/>
      <c r="T136" s="75"/>
      <c r="U136" s="61"/>
      <c r="V136" s="75"/>
      <c r="W136" s="37"/>
      <c r="X136" s="75"/>
      <c r="Y136" s="61"/>
      <c r="Z136" s="75"/>
      <c r="AA136" s="61"/>
      <c r="AB136" s="75"/>
      <c r="AC136" s="61"/>
      <c r="AD136" s="75"/>
      <c r="AE136" s="61"/>
      <c r="AF136" s="75"/>
      <c r="AG136" s="61"/>
      <c r="AH136" s="75"/>
      <c r="AJ136" s="75"/>
      <c r="AL136" s="75"/>
      <c r="AN136" s="75"/>
      <c r="AP136" s="75"/>
      <c r="AR136" s="75"/>
      <c r="AS136" s="61"/>
      <c r="AT136" s="75"/>
      <c r="AU136" s="61"/>
      <c r="AV136" s="75"/>
      <c r="AW136" s="61"/>
      <c r="AX136" s="75"/>
      <c r="AY136" s="61"/>
      <c r="AZ136" s="75"/>
      <c r="BA136" s="61"/>
      <c r="BB136" s="75"/>
      <c r="BC136" s="61"/>
      <c r="BD136" s="75"/>
      <c r="BE136" s="61"/>
      <c r="BF136" s="75"/>
      <c r="BG136" s="61"/>
      <c r="BH136" s="75"/>
      <c r="BJ136" s="75"/>
      <c r="BK136" s="80"/>
      <c r="BM136" s="51"/>
      <c r="BN136" s="51"/>
      <c r="BY136" s="67"/>
      <c r="BZ136" s="104"/>
      <c r="CA136" s="106"/>
      <c r="CD136" s="70"/>
      <c r="CE136" s="103"/>
      <c r="CF136" s="103"/>
      <c r="CG136" s="103"/>
      <c r="CH136" s="103"/>
      <c r="CI136" s="103"/>
      <c r="CJ136" s="103"/>
      <c r="CK136" s="103"/>
      <c r="CL136" s="103"/>
      <c r="CM136" s="107"/>
      <c r="CN136" s="107"/>
      <c r="CO136" s="107"/>
      <c r="CP136" s="107"/>
      <c r="CQ136" s="107"/>
      <c r="CR136" s="107"/>
      <c r="CS136" s="103"/>
      <c r="CT136" s="103"/>
      <c r="CU136" s="103"/>
      <c r="CV136" s="103"/>
      <c r="CW136" s="103"/>
      <c r="CX136" s="103"/>
      <c r="CY136" s="107"/>
      <c r="CZ136" s="107"/>
      <c r="DA136" s="107"/>
      <c r="DB136" s="107"/>
      <c r="DC136" s="108"/>
    </row>
    <row r="137" spans="8:107" x14ac:dyDescent="0.3">
      <c r="H137" s="79"/>
      <c r="I137" s="37"/>
      <c r="J137" s="75"/>
      <c r="K137" s="37"/>
      <c r="L137" s="75"/>
      <c r="M137" s="37"/>
      <c r="N137" s="75"/>
      <c r="O137" s="37"/>
      <c r="P137" s="75"/>
      <c r="Q137" s="37"/>
      <c r="R137" s="75"/>
      <c r="S137" s="37"/>
      <c r="T137" s="75"/>
      <c r="U137" s="61"/>
      <c r="V137" s="75"/>
      <c r="W137" s="37"/>
      <c r="X137" s="75"/>
      <c r="Y137" s="61"/>
      <c r="Z137" s="75"/>
      <c r="AA137" s="61"/>
      <c r="AB137" s="75"/>
      <c r="AC137" s="61"/>
      <c r="AD137" s="75"/>
      <c r="AE137" s="61"/>
      <c r="AF137" s="75"/>
      <c r="AG137" s="61"/>
      <c r="AH137" s="75"/>
      <c r="AJ137" s="75"/>
      <c r="AL137" s="75"/>
      <c r="AN137" s="75"/>
      <c r="AP137" s="75"/>
      <c r="AR137" s="75"/>
      <c r="AS137" s="61"/>
      <c r="AT137" s="75"/>
      <c r="AU137" s="61"/>
      <c r="AV137" s="75"/>
      <c r="AW137" s="61"/>
      <c r="AX137" s="75"/>
      <c r="AY137" s="61"/>
      <c r="AZ137" s="75"/>
      <c r="BA137" s="61"/>
      <c r="BB137" s="75"/>
      <c r="BC137" s="61"/>
      <c r="BD137" s="75"/>
      <c r="BE137" s="61"/>
      <c r="BF137" s="75"/>
      <c r="BG137" s="61"/>
      <c r="BH137" s="75"/>
      <c r="BJ137" s="75"/>
      <c r="BK137" s="80"/>
      <c r="BM137" s="51"/>
      <c r="BN137" s="51"/>
      <c r="BY137" s="67"/>
      <c r="BZ137" s="104"/>
      <c r="CA137" s="106"/>
      <c r="CD137" s="70"/>
      <c r="CE137" s="103"/>
      <c r="CF137" s="103"/>
      <c r="CG137" s="103"/>
      <c r="CH137" s="103"/>
      <c r="CI137" s="103"/>
      <c r="CJ137" s="103"/>
      <c r="CK137" s="103"/>
      <c r="CL137" s="103"/>
      <c r="CM137" s="107"/>
      <c r="CN137" s="107"/>
      <c r="CO137" s="107"/>
      <c r="CP137" s="107"/>
      <c r="CQ137" s="107"/>
      <c r="CR137" s="107"/>
      <c r="CS137" s="103"/>
      <c r="CT137" s="103"/>
      <c r="CU137" s="103"/>
      <c r="CV137" s="103"/>
      <c r="CW137" s="103"/>
      <c r="CX137" s="103"/>
      <c r="CY137" s="107"/>
      <c r="CZ137" s="107"/>
      <c r="DA137" s="107"/>
      <c r="DB137" s="107"/>
      <c r="DC137" s="108"/>
    </row>
    <row r="138" spans="8:107" x14ac:dyDescent="0.3">
      <c r="H138" s="79"/>
      <c r="I138" s="37"/>
      <c r="J138" s="75"/>
      <c r="K138" s="37"/>
      <c r="L138" s="75"/>
      <c r="M138" s="37"/>
      <c r="N138" s="75"/>
      <c r="O138" s="37"/>
      <c r="P138" s="75"/>
      <c r="Q138" s="37"/>
      <c r="R138" s="75"/>
      <c r="S138" s="37"/>
      <c r="T138" s="75"/>
      <c r="U138" s="61"/>
      <c r="V138" s="75"/>
      <c r="W138" s="37"/>
      <c r="X138" s="75"/>
      <c r="Y138" s="61"/>
      <c r="Z138" s="75"/>
      <c r="AA138" s="61"/>
      <c r="AB138" s="75"/>
      <c r="AC138" s="61"/>
      <c r="AD138" s="75"/>
      <c r="AE138" s="61"/>
      <c r="AF138" s="75"/>
      <c r="AG138" s="61"/>
      <c r="AH138" s="75"/>
      <c r="AJ138" s="75"/>
      <c r="AL138" s="75"/>
      <c r="AN138" s="75"/>
      <c r="AP138" s="75"/>
      <c r="AR138" s="75"/>
      <c r="AS138" s="61"/>
      <c r="AT138" s="75"/>
      <c r="AU138" s="61"/>
      <c r="AV138" s="75"/>
      <c r="AW138" s="61"/>
      <c r="AX138" s="75"/>
      <c r="AY138" s="61"/>
      <c r="AZ138" s="75"/>
      <c r="BA138" s="61"/>
      <c r="BB138" s="75"/>
      <c r="BC138" s="61"/>
      <c r="BD138" s="75"/>
      <c r="BE138" s="61"/>
      <c r="BF138" s="75"/>
      <c r="BG138" s="61"/>
      <c r="BH138" s="75"/>
      <c r="BJ138" s="75"/>
      <c r="BK138" s="80"/>
      <c r="BM138" s="51"/>
      <c r="BN138" s="51"/>
      <c r="BZ138" s="110"/>
      <c r="CA138" s="106"/>
      <c r="CE138" s="112"/>
      <c r="CF138" s="112"/>
      <c r="CG138" s="103"/>
      <c r="CH138" s="112"/>
      <c r="CI138" s="112"/>
      <c r="CJ138" s="112"/>
      <c r="CK138" s="112"/>
      <c r="CL138" s="112"/>
      <c r="CM138" s="113"/>
      <c r="CN138" s="113"/>
      <c r="CO138" s="113"/>
      <c r="CP138" s="113"/>
      <c r="CQ138" s="113"/>
      <c r="CR138" s="113"/>
      <c r="CS138" s="103"/>
      <c r="CT138" s="112"/>
      <c r="CU138" s="112"/>
      <c r="CV138" s="112"/>
      <c r="CW138" s="112"/>
      <c r="CX138" s="112"/>
      <c r="CY138" s="113"/>
      <c r="CZ138" s="113"/>
      <c r="DA138" s="113"/>
      <c r="DB138" s="113"/>
      <c r="DC138" s="114"/>
    </row>
    <row r="139" spans="8:107" x14ac:dyDescent="0.3">
      <c r="H139" s="79"/>
      <c r="I139" s="37"/>
      <c r="J139" s="75"/>
      <c r="K139" s="37"/>
      <c r="L139" s="75"/>
      <c r="M139" s="37"/>
      <c r="N139" s="75"/>
      <c r="O139" s="37"/>
      <c r="P139" s="75"/>
      <c r="Q139" s="37"/>
      <c r="R139" s="75"/>
      <c r="S139" s="37"/>
      <c r="T139" s="75"/>
      <c r="U139" s="61"/>
      <c r="V139" s="75"/>
      <c r="W139" s="37"/>
      <c r="X139" s="75"/>
      <c r="Y139" s="61"/>
      <c r="Z139" s="75"/>
      <c r="AA139" s="61"/>
      <c r="AB139" s="75"/>
      <c r="AC139" s="61"/>
      <c r="AD139" s="75"/>
      <c r="AE139" s="61"/>
      <c r="AF139" s="75"/>
      <c r="AG139" s="61"/>
      <c r="AH139" s="75"/>
      <c r="AJ139" s="75"/>
      <c r="AL139" s="75"/>
      <c r="AN139" s="75"/>
      <c r="AP139" s="75"/>
      <c r="AR139" s="75"/>
      <c r="AS139" s="61"/>
      <c r="AT139" s="75"/>
      <c r="AU139" s="61"/>
      <c r="AV139" s="75"/>
      <c r="AW139" s="61"/>
      <c r="AX139" s="75"/>
      <c r="AY139" s="61"/>
      <c r="AZ139" s="75"/>
      <c r="BA139" s="61"/>
      <c r="BB139" s="75"/>
      <c r="BC139" s="61"/>
      <c r="BD139" s="75"/>
      <c r="BE139" s="61"/>
      <c r="BF139" s="75"/>
      <c r="BG139" s="61"/>
      <c r="BH139" s="75"/>
      <c r="BJ139" s="75"/>
      <c r="BK139" s="80"/>
      <c r="BM139" s="51"/>
      <c r="BN139" s="51"/>
      <c r="BY139" s="67"/>
      <c r="BZ139" s="104"/>
      <c r="CA139" s="106"/>
      <c r="CD139" s="70"/>
      <c r="CE139" s="103"/>
      <c r="CF139" s="103"/>
      <c r="CG139" s="103"/>
      <c r="CH139" s="103"/>
      <c r="CI139" s="103"/>
      <c r="CJ139" s="103"/>
      <c r="CK139" s="103"/>
      <c r="CL139" s="103"/>
      <c r="CM139" s="113"/>
      <c r="CN139" s="113"/>
      <c r="CO139" s="113"/>
      <c r="CP139" s="113"/>
      <c r="CQ139" s="113"/>
      <c r="CR139" s="113"/>
      <c r="CS139" s="103"/>
      <c r="CT139" s="103"/>
      <c r="CU139" s="103"/>
      <c r="CV139" s="103"/>
      <c r="CW139" s="103"/>
      <c r="CX139" s="103"/>
      <c r="CY139" s="113"/>
      <c r="CZ139" s="113"/>
      <c r="DA139" s="113"/>
      <c r="DB139" s="113"/>
      <c r="DC139" s="114"/>
    </row>
    <row r="140" spans="8:107" x14ac:dyDescent="0.3">
      <c r="H140" s="79"/>
      <c r="I140" s="37"/>
      <c r="J140" s="75"/>
      <c r="K140" s="37"/>
      <c r="L140" s="75"/>
      <c r="M140" s="37"/>
      <c r="N140" s="75"/>
      <c r="O140" s="37"/>
      <c r="P140" s="75"/>
      <c r="Q140" s="37"/>
      <c r="R140" s="75"/>
      <c r="S140" s="37"/>
      <c r="T140" s="75"/>
      <c r="U140" s="61"/>
      <c r="V140" s="75"/>
      <c r="W140" s="37"/>
      <c r="X140" s="75"/>
      <c r="Y140" s="61"/>
      <c r="Z140" s="75"/>
      <c r="AA140" s="61"/>
      <c r="AB140" s="75"/>
      <c r="AC140" s="61"/>
      <c r="AD140" s="75"/>
      <c r="AE140" s="61"/>
      <c r="AF140" s="75"/>
      <c r="AG140" s="61"/>
      <c r="AH140" s="75"/>
      <c r="AJ140" s="75"/>
      <c r="AL140" s="75"/>
      <c r="AN140" s="75"/>
      <c r="AP140" s="75"/>
      <c r="AR140" s="75"/>
      <c r="AS140" s="61"/>
      <c r="AT140" s="75"/>
      <c r="AU140" s="61"/>
      <c r="AV140" s="75"/>
      <c r="AW140" s="61"/>
      <c r="AX140" s="75"/>
      <c r="AY140" s="61"/>
      <c r="AZ140" s="75"/>
      <c r="BA140" s="61"/>
      <c r="BB140" s="75"/>
      <c r="BC140" s="61"/>
      <c r="BD140" s="75"/>
      <c r="BE140" s="61"/>
      <c r="BF140" s="75"/>
      <c r="BG140" s="61"/>
      <c r="BH140" s="75"/>
      <c r="BJ140" s="75"/>
      <c r="BK140" s="80"/>
      <c r="BM140" s="51"/>
      <c r="BN140" s="51"/>
      <c r="BY140" s="67"/>
      <c r="BZ140" s="104"/>
      <c r="CA140" s="106"/>
      <c r="CD140" s="70"/>
      <c r="CE140" s="103"/>
      <c r="CF140" s="103"/>
      <c r="CG140" s="103"/>
      <c r="CH140" s="103"/>
      <c r="CI140" s="103"/>
      <c r="CJ140" s="103"/>
      <c r="CK140" s="103"/>
      <c r="CL140" s="103"/>
      <c r="CM140" s="113"/>
      <c r="CN140" s="113"/>
      <c r="CO140" s="113"/>
      <c r="CP140" s="113"/>
      <c r="CQ140" s="113"/>
      <c r="CR140" s="113"/>
      <c r="CS140" s="103"/>
      <c r="CT140" s="103"/>
      <c r="CU140" s="103"/>
      <c r="CV140" s="103"/>
      <c r="CW140" s="103"/>
      <c r="CX140" s="103"/>
      <c r="CY140" s="113"/>
      <c r="CZ140" s="113"/>
      <c r="DA140" s="113"/>
      <c r="DB140" s="113"/>
      <c r="DC140" s="114"/>
    </row>
    <row r="141" spans="8:107" x14ac:dyDescent="0.3">
      <c r="H141" s="79"/>
      <c r="I141" s="37"/>
      <c r="J141" s="75"/>
      <c r="K141" s="37"/>
      <c r="L141" s="75"/>
      <c r="M141" s="37"/>
      <c r="N141" s="75"/>
      <c r="O141" s="37"/>
      <c r="P141" s="75"/>
      <c r="Q141" s="37"/>
      <c r="R141" s="75"/>
      <c r="S141" s="37"/>
      <c r="T141" s="75"/>
      <c r="U141" s="61"/>
      <c r="V141" s="75"/>
      <c r="W141" s="37"/>
      <c r="X141" s="75"/>
      <c r="Y141" s="61"/>
      <c r="Z141" s="75"/>
      <c r="AA141" s="61"/>
      <c r="AB141" s="75"/>
      <c r="AC141" s="61"/>
      <c r="AD141" s="75"/>
      <c r="AE141" s="61"/>
      <c r="AF141" s="75"/>
      <c r="AG141" s="61"/>
      <c r="AH141" s="75"/>
      <c r="AJ141" s="75"/>
      <c r="AL141" s="75"/>
      <c r="AN141" s="75"/>
      <c r="AP141" s="75"/>
      <c r="AR141" s="75"/>
      <c r="AS141" s="61"/>
      <c r="AT141" s="75"/>
      <c r="AU141" s="61"/>
      <c r="AV141" s="75"/>
      <c r="AW141" s="61"/>
      <c r="AX141" s="75"/>
      <c r="AY141" s="61"/>
      <c r="AZ141" s="75"/>
      <c r="BA141" s="61"/>
      <c r="BB141" s="75"/>
      <c r="BC141" s="61"/>
      <c r="BD141" s="75"/>
      <c r="BE141" s="61"/>
      <c r="BF141" s="75"/>
      <c r="BG141" s="61"/>
      <c r="BH141" s="75"/>
      <c r="BJ141" s="75"/>
      <c r="BK141" s="80"/>
      <c r="BM141" s="51"/>
      <c r="BN141" s="51"/>
      <c r="BY141" s="67"/>
      <c r="BZ141" s="104"/>
      <c r="CA141" s="106"/>
      <c r="CD141" s="70"/>
      <c r="CE141" s="103"/>
      <c r="CF141" s="103"/>
      <c r="CG141" s="103"/>
      <c r="CH141" s="103"/>
      <c r="CI141" s="103"/>
      <c r="CJ141" s="103"/>
      <c r="CK141" s="103"/>
      <c r="CL141" s="103"/>
      <c r="CM141" s="107"/>
      <c r="CN141" s="107"/>
      <c r="CO141" s="107"/>
      <c r="CP141" s="107"/>
      <c r="CQ141" s="107"/>
      <c r="CR141" s="107"/>
      <c r="CS141" s="103"/>
      <c r="CT141" s="103"/>
      <c r="CU141" s="103"/>
      <c r="CV141" s="103"/>
      <c r="CW141" s="103"/>
      <c r="CX141" s="103"/>
      <c r="CY141" s="107"/>
      <c r="CZ141" s="107"/>
      <c r="DA141" s="107"/>
      <c r="DB141" s="107"/>
      <c r="DC141" s="108"/>
    </row>
    <row r="142" spans="8:107" x14ac:dyDescent="0.3">
      <c r="H142" s="79"/>
      <c r="I142" s="37"/>
      <c r="J142" s="75"/>
      <c r="K142" s="37"/>
      <c r="L142" s="75"/>
      <c r="M142" s="37"/>
      <c r="N142" s="75"/>
      <c r="O142" s="37"/>
      <c r="P142" s="75"/>
      <c r="Q142" s="37"/>
      <c r="R142" s="75"/>
      <c r="S142" s="37"/>
      <c r="T142" s="75"/>
      <c r="U142" s="61"/>
      <c r="V142" s="75"/>
      <c r="W142" s="37"/>
      <c r="X142" s="75"/>
      <c r="Y142" s="61"/>
      <c r="Z142" s="75"/>
      <c r="AA142" s="61"/>
      <c r="AB142" s="75"/>
      <c r="AC142" s="61"/>
      <c r="AD142" s="75"/>
      <c r="AE142" s="61"/>
      <c r="AF142" s="75"/>
      <c r="AG142" s="61"/>
      <c r="AH142" s="75"/>
      <c r="AJ142" s="75"/>
      <c r="AL142" s="75"/>
      <c r="AN142" s="75"/>
      <c r="AP142" s="75"/>
      <c r="AR142" s="75"/>
      <c r="AS142" s="61"/>
      <c r="AT142" s="75"/>
      <c r="AU142" s="61"/>
      <c r="AV142" s="75"/>
      <c r="AW142" s="61"/>
      <c r="AX142" s="75"/>
      <c r="AY142" s="61"/>
      <c r="AZ142" s="75"/>
      <c r="BA142" s="61"/>
      <c r="BB142" s="75"/>
      <c r="BC142" s="61"/>
      <c r="BD142" s="75"/>
      <c r="BE142" s="61"/>
      <c r="BF142" s="75"/>
      <c r="BG142" s="61"/>
      <c r="BH142" s="75"/>
      <c r="BJ142" s="75"/>
      <c r="BK142" s="80"/>
      <c r="BM142" s="51"/>
      <c r="BN142" s="51"/>
      <c r="BY142" s="67"/>
      <c r="BZ142" s="104"/>
      <c r="CA142" s="106"/>
      <c r="CD142" s="70"/>
      <c r="CE142" s="103"/>
      <c r="CF142" s="103"/>
      <c r="CG142" s="103"/>
      <c r="CH142" s="103"/>
      <c r="CI142" s="103"/>
      <c r="CJ142" s="103"/>
      <c r="CK142" s="103"/>
      <c r="CL142" s="103"/>
      <c r="CM142" s="113"/>
      <c r="CN142" s="113"/>
      <c r="CO142" s="113"/>
      <c r="CP142" s="113"/>
      <c r="CQ142" s="113"/>
      <c r="CR142" s="113"/>
      <c r="CS142" s="103"/>
      <c r="CT142" s="103"/>
      <c r="CU142" s="103"/>
      <c r="CV142" s="103"/>
      <c r="CW142" s="103"/>
      <c r="CX142" s="103"/>
      <c r="CY142" s="113"/>
      <c r="CZ142" s="113"/>
      <c r="DA142" s="113"/>
      <c r="DB142" s="113"/>
      <c r="DC142" s="114"/>
    </row>
    <row r="143" spans="8:107" x14ac:dyDescent="0.3">
      <c r="H143" s="79"/>
      <c r="I143" s="37"/>
      <c r="J143" s="75"/>
      <c r="K143" s="37"/>
      <c r="L143" s="75"/>
      <c r="M143" s="37"/>
      <c r="N143" s="75"/>
      <c r="O143" s="37"/>
      <c r="P143" s="75"/>
      <c r="Q143" s="37"/>
      <c r="R143" s="75"/>
      <c r="S143" s="37"/>
      <c r="T143" s="75"/>
      <c r="U143" s="61"/>
      <c r="V143" s="75"/>
      <c r="W143" s="37"/>
      <c r="X143" s="75"/>
      <c r="Y143" s="61"/>
      <c r="Z143" s="75"/>
      <c r="AA143" s="61"/>
      <c r="AB143" s="75"/>
      <c r="AC143" s="61"/>
      <c r="AD143" s="75"/>
      <c r="AE143" s="61"/>
      <c r="AF143" s="75"/>
      <c r="AG143" s="61"/>
      <c r="AH143" s="75"/>
      <c r="AJ143" s="75"/>
      <c r="AL143" s="75"/>
      <c r="AN143" s="75"/>
      <c r="AP143" s="75"/>
      <c r="AR143" s="75"/>
      <c r="AS143" s="61"/>
      <c r="AT143" s="75"/>
      <c r="AU143" s="61"/>
      <c r="AV143" s="75"/>
      <c r="AW143" s="61"/>
      <c r="AX143" s="75"/>
      <c r="AY143" s="61"/>
      <c r="AZ143" s="75"/>
      <c r="BA143" s="61"/>
      <c r="BB143" s="75"/>
      <c r="BC143" s="61"/>
      <c r="BD143" s="75"/>
      <c r="BE143" s="61"/>
      <c r="BF143" s="75"/>
      <c r="BG143" s="61"/>
      <c r="BH143" s="75"/>
      <c r="BJ143" s="75"/>
      <c r="BK143" s="80"/>
      <c r="BM143" s="51"/>
      <c r="BN143" s="51"/>
      <c r="BY143" s="67"/>
      <c r="BZ143" s="104"/>
      <c r="CA143" s="106"/>
      <c r="CD143" s="70"/>
      <c r="CE143" s="103"/>
      <c r="CF143" s="103"/>
      <c r="CG143" s="103"/>
      <c r="CH143" s="103"/>
      <c r="CI143" s="103"/>
      <c r="CJ143" s="103"/>
      <c r="CK143" s="103"/>
      <c r="CL143" s="103"/>
      <c r="CM143" s="113"/>
      <c r="CN143" s="113"/>
      <c r="CO143" s="113"/>
      <c r="CP143" s="113"/>
      <c r="CQ143" s="113"/>
      <c r="CR143" s="113"/>
      <c r="CS143" s="103"/>
      <c r="CT143" s="103"/>
      <c r="CU143" s="103"/>
      <c r="CV143" s="103"/>
      <c r="CW143" s="103"/>
      <c r="CX143" s="103"/>
      <c r="CY143" s="113"/>
      <c r="CZ143" s="113"/>
      <c r="DA143" s="113"/>
      <c r="DB143" s="113"/>
      <c r="DC143" s="114"/>
    </row>
    <row r="144" spans="8:107" x14ac:dyDescent="0.3">
      <c r="H144" s="79"/>
      <c r="I144" s="37"/>
      <c r="J144" s="75"/>
      <c r="K144" s="37"/>
      <c r="L144" s="75"/>
      <c r="M144" s="37"/>
      <c r="N144" s="75"/>
      <c r="O144" s="37"/>
      <c r="P144" s="75"/>
      <c r="Q144" s="37"/>
      <c r="R144" s="75"/>
      <c r="S144" s="37"/>
      <c r="T144" s="75"/>
      <c r="U144" s="61"/>
      <c r="V144" s="75"/>
      <c r="W144" s="37"/>
      <c r="X144" s="75"/>
      <c r="Y144" s="61"/>
      <c r="Z144" s="75"/>
      <c r="AA144" s="61"/>
      <c r="AB144" s="75"/>
      <c r="AC144" s="61"/>
      <c r="AD144" s="75"/>
      <c r="AE144" s="61"/>
      <c r="AF144" s="75"/>
      <c r="AG144" s="61"/>
      <c r="AH144" s="75"/>
      <c r="AJ144" s="75"/>
      <c r="AL144" s="75"/>
      <c r="AN144" s="75"/>
      <c r="AP144" s="75"/>
      <c r="AR144" s="75"/>
      <c r="AS144" s="61"/>
      <c r="AT144" s="75"/>
      <c r="AU144" s="61"/>
      <c r="AV144" s="75"/>
      <c r="AW144" s="61"/>
      <c r="AX144" s="75"/>
      <c r="AY144" s="61"/>
      <c r="AZ144" s="75"/>
      <c r="BA144" s="61"/>
      <c r="BB144" s="75"/>
      <c r="BC144" s="61"/>
      <c r="BD144" s="75"/>
      <c r="BE144" s="61"/>
      <c r="BF144" s="75"/>
      <c r="BG144" s="61"/>
      <c r="BH144" s="75"/>
      <c r="BJ144" s="75"/>
      <c r="BK144" s="80"/>
      <c r="BM144" s="51"/>
      <c r="BN144" s="51"/>
      <c r="BY144" s="67"/>
      <c r="BZ144" s="104"/>
      <c r="CA144" s="106"/>
      <c r="CD144" s="70"/>
      <c r="CE144" s="103"/>
      <c r="CF144" s="103"/>
      <c r="CG144" s="103"/>
      <c r="CH144" s="103"/>
      <c r="CI144" s="103"/>
      <c r="CJ144" s="103"/>
      <c r="CK144" s="103"/>
      <c r="CL144" s="103"/>
      <c r="CM144" s="113"/>
      <c r="CN144" s="113"/>
      <c r="CO144" s="113"/>
      <c r="CP144" s="113"/>
      <c r="CQ144" s="113"/>
      <c r="CR144" s="113"/>
      <c r="CS144" s="103"/>
      <c r="CT144" s="103"/>
      <c r="CU144" s="103"/>
      <c r="CV144" s="103"/>
      <c r="CW144" s="103"/>
      <c r="CX144" s="103"/>
      <c r="CY144" s="113"/>
      <c r="CZ144" s="113"/>
      <c r="DA144" s="113"/>
      <c r="DB144" s="113"/>
      <c r="DC144" s="114"/>
    </row>
    <row r="145" spans="8:66" x14ac:dyDescent="0.3">
      <c r="H145" s="79"/>
      <c r="I145" s="37"/>
      <c r="J145" s="75"/>
      <c r="K145" s="37"/>
      <c r="L145" s="75"/>
      <c r="M145" s="37"/>
      <c r="N145" s="75"/>
      <c r="O145" s="37"/>
      <c r="P145" s="75"/>
      <c r="Q145" s="37"/>
      <c r="R145" s="75"/>
      <c r="S145" s="37"/>
      <c r="T145" s="75"/>
      <c r="U145" s="61"/>
      <c r="V145" s="75"/>
      <c r="W145" s="37"/>
      <c r="X145" s="75"/>
      <c r="Y145" s="61"/>
      <c r="Z145" s="75"/>
      <c r="AA145" s="61"/>
      <c r="AB145" s="75"/>
      <c r="AC145" s="61"/>
      <c r="AD145" s="75"/>
      <c r="AE145" s="61"/>
      <c r="AF145" s="75"/>
      <c r="AG145" s="61"/>
      <c r="AH145" s="75"/>
      <c r="AJ145" s="75"/>
      <c r="AL145" s="75"/>
      <c r="AN145" s="75"/>
      <c r="AP145" s="75"/>
      <c r="AR145" s="75"/>
      <c r="AS145" s="61"/>
      <c r="AT145" s="75"/>
      <c r="AU145" s="61"/>
      <c r="AV145" s="75"/>
      <c r="AW145" s="61"/>
      <c r="AX145" s="75"/>
      <c r="AY145" s="61"/>
      <c r="AZ145" s="75"/>
      <c r="BA145" s="61"/>
      <c r="BB145" s="75"/>
      <c r="BC145" s="61"/>
      <c r="BD145" s="75"/>
      <c r="BE145" s="61"/>
      <c r="BF145" s="75"/>
      <c r="BG145" s="61"/>
      <c r="BH145" s="75"/>
      <c r="BJ145" s="75"/>
      <c r="BK145" s="80"/>
      <c r="BM145" s="51"/>
      <c r="BN145" s="51"/>
    </row>
    <row r="146" spans="8:66" x14ac:dyDescent="0.3">
      <c r="H146" s="79"/>
      <c r="I146" s="37"/>
      <c r="J146" s="75"/>
      <c r="K146" s="37"/>
      <c r="L146" s="75"/>
      <c r="M146" s="37"/>
      <c r="N146" s="75"/>
      <c r="O146" s="37"/>
      <c r="P146" s="75"/>
      <c r="Q146" s="37"/>
      <c r="R146" s="75"/>
      <c r="S146" s="37"/>
      <c r="T146" s="75"/>
      <c r="U146" s="61"/>
      <c r="V146" s="75"/>
      <c r="W146" s="37"/>
      <c r="X146" s="75"/>
      <c r="Y146" s="61"/>
      <c r="Z146" s="75"/>
      <c r="AA146" s="61"/>
      <c r="AB146" s="75"/>
      <c r="AC146" s="61"/>
      <c r="AD146" s="75"/>
      <c r="AE146" s="61"/>
      <c r="AF146" s="75"/>
      <c r="AG146" s="61"/>
      <c r="AH146" s="75"/>
      <c r="AJ146" s="75"/>
      <c r="AL146" s="75"/>
      <c r="AN146" s="75"/>
      <c r="AP146" s="75"/>
      <c r="AR146" s="75"/>
      <c r="AS146" s="61"/>
      <c r="AT146" s="75"/>
      <c r="AU146" s="61"/>
      <c r="AV146" s="75"/>
      <c r="AW146" s="61"/>
      <c r="AX146" s="75"/>
      <c r="AY146" s="61"/>
      <c r="AZ146" s="75"/>
      <c r="BA146" s="61"/>
      <c r="BB146" s="75"/>
      <c r="BC146" s="61"/>
      <c r="BD146" s="75"/>
      <c r="BE146" s="61"/>
      <c r="BF146" s="75"/>
      <c r="BG146" s="61"/>
      <c r="BH146" s="75"/>
      <c r="BJ146" s="75"/>
      <c r="BK146" s="80"/>
      <c r="BM146" s="51"/>
      <c r="BN146" s="51"/>
    </row>
    <row r="147" spans="8:66" x14ac:dyDescent="0.3">
      <c r="H147" s="79"/>
      <c r="I147" s="37"/>
      <c r="J147" s="75"/>
      <c r="K147" s="37"/>
      <c r="L147" s="75"/>
      <c r="M147" s="37"/>
      <c r="N147" s="75"/>
      <c r="O147" s="37"/>
      <c r="P147" s="75"/>
      <c r="Q147" s="37"/>
      <c r="R147" s="75"/>
      <c r="S147" s="37"/>
      <c r="T147" s="75"/>
      <c r="U147" s="61"/>
      <c r="V147" s="75"/>
      <c r="W147" s="37"/>
      <c r="X147" s="75"/>
      <c r="Y147" s="61"/>
      <c r="Z147" s="75"/>
      <c r="AA147" s="61"/>
      <c r="AB147" s="75"/>
      <c r="AC147" s="61"/>
      <c r="AD147" s="75"/>
      <c r="AE147" s="61"/>
      <c r="AF147" s="75"/>
      <c r="AG147" s="61"/>
      <c r="AH147" s="75"/>
      <c r="AJ147" s="75"/>
      <c r="AL147" s="75"/>
      <c r="AN147" s="75"/>
      <c r="AP147" s="75"/>
      <c r="AR147" s="75"/>
      <c r="AS147" s="61"/>
      <c r="AT147" s="75"/>
      <c r="AU147" s="61"/>
      <c r="AV147" s="75"/>
      <c r="AW147" s="61"/>
      <c r="AX147" s="75"/>
      <c r="AY147" s="61"/>
      <c r="AZ147" s="75"/>
      <c r="BA147" s="61"/>
      <c r="BB147" s="75"/>
      <c r="BC147" s="61"/>
      <c r="BD147" s="75"/>
      <c r="BE147" s="61"/>
      <c r="BF147" s="75"/>
      <c r="BG147" s="61"/>
      <c r="BH147" s="75"/>
      <c r="BJ147" s="75"/>
      <c r="BK147" s="80"/>
      <c r="BM147" s="51"/>
      <c r="BN147" s="51"/>
    </row>
    <row r="148" spans="8:66" x14ac:dyDescent="0.3">
      <c r="H148" s="79"/>
      <c r="I148" s="37"/>
      <c r="J148" s="75"/>
      <c r="K148" s="37"/>
      <c r="L148" s="75"/>
      <c r="M148" s="37"/>
      <c r="N148" s="75"/>
      <c r="O148" s="37"/>
      <c r="P148" s="75"/>
      <c r="Q148" s="37"/>
      <c r="R148" s="75"/>
      <c r="S148" s="37"/>
      <c r="T148" s="75"/>
      <c r="U148" s="61"/>
      <c r="V148" s="75"/>
      <c r="W148" s="37"/>
      <c r="X148" s="75"/>
      <c r="Y148" s="61"/>
      <c r="Z148" s="75"/>
      <c r="AA148" s="61"/>
      <c r="AB148" s="75"/>
      <c r="AC148" s="61"/>
      <c r="AD148" s="75"/>
      <c r="AE148" s="61"/>
      <c r="AF148" s="75"/>
      <c r="AG148" s="61"/>
      <c r="AH148" s="75"/>
      <c r="AJ148" s="75"/>
      <c r="AL148" s="75"/>
      <c r="AN148" s="75"/>
      <c r="AP148" s="75"/>
      <c r="AR148" s="75"/>
      <c r="AS148" s="61"/>
      <c r="AT148" s="75"/>
      <c r="AU148" s="61"/>
      <c r="AV148" s="75"/>
      <c r="AW148" s="61"/>
      <c r="AX148" s="75"/>
      <c r="AY148" s="61"/>
      <c r="AZ148" s="75"/>
      <c r="BA148" s="61"/>
      <c r="BB148" s="75"/>
      <c r="BC148" s="61"/>
      <c r="BD148" s="75"/>
      <c r="BE148" s="61"/>
      <c r="BF148" s="75"/>
      <c r="BG148" s="61"/>
      <c r="BH148" s="75"/>
      <c r="BJ148" s="75"/>
      <c r="BK148" s="80"/>
      <c r="BM148" s="51"/>
      <c r="BN148" s="51"/>
    </row>
    <row r="149" spans="8:66" x14ac:dyDescent="0.3">
      <c r="H149" s="79"/>
      <c r="I149" s="37"/>
      <c r="J149" s="75"/>
      <c r="K149" s="37"/>
      <c r="L149" s="75"/>
      <c r="M149" s="37"/>
      <c r="N149" s="75"/>
      <c r="O149" s="37"/>
      <c r="P149" s="75"/>
      <c r="Q149" s="37"/>
      <c r="R149" s="75"/>
      <c r="S149" s="37"/>
      <c r="T149" s="75"/>
      <c r="U149" s="61"/>
      <c r="V149" s="75"/>
      <c r="W149" s="37"/>
      <c r="X149" s="75"/>
      <c r="Y149" s="61"/>
      <c r="Z149" s="75"/>
      <c r="AA149" s="61"/>
      <c r="AB149" s="75"/>
      <c r="AC149" s="61"/>
      <c r="AD149" s="75"/>
      <c r="AE149" s="61"/>
      <c r="AF149" s="75"/>
      <c r="AG149" s="61"/>
      <c r="AH149" s="75"/>
      <c r="AJ149" s="75"/>
      <c r="AL149" s="75"/>
      <c r="AN149" s="75"/>
      <c r="AP149" s="75"/>
      <c r="AR149" s="75"/>
      <c r="AS149" s="61"/>
      <c r="AT149" s="75"/>
      <c r="AU149" s="61"/>
      <c r="AV149" s="75"/>
      <c r="AW149" s="61"/>
      <c r="AX149" s="75"/>
      <c r="AY149" s="61"/>
      <c r="AZ149" s="75"/>
      <c r="BA149" s="61"/>
      <c r="BB149" s="75"/>
      <c r="BC149" s="61"/>
      <c r="BD149" s="75"/>
      <c r="BE149" s="61"/>
      <c r="BF149" s="75"/>
      <c r="BG149" s="61"/>
      <c r="BH149" s="75"/>
      <c r="BJ149" s="75"/>
      <c r="BK149" s="80"/>
      <c r="BM149" s="51"/>
      <c r="BN149" s="51"/>
    </row>
    <row r="150" spans="8:66" x14ac:dyDescent="0.3">
      <c r="H150" s="79"/>
      <c r="I150" s="37"/>
      <c r="J150" s="75"/>
      <c r="K150" s="37"/>
      <c r="L150" s="75"/>
      <c r="M150" s="37"/>
      <c r="N150" s="75"/>
      <c r="O150" s="37"/>
      <c r="P150" s="75"/>
      <c r="Q150" s="37"/>
      <c r="R150" s="75"/>
      <c r="S150" s="37"/>
      <c r="T150" s="75"/>
      <c r="U150" s="61"/>
      <c r="V150" s="75"/>
      <c r="W150" s="37"/>
      <c r="X150" s="75"/>
      <c r="Y150" s="61"/>
      <c r="Z150" s="75"/>
      <c r="AA150" s="61"/>
      <c r="AB150" s="75"/>
      <c r="AC150" s="61"/>
      <c r="AD150" s="75"/>
      <c r="AE150" s="61"/>
      <c r="AF150" s="75"/>
      <c r="AG150" s="61"/>
      <c r="AH150" s="75"/>
      <c r="AJ150" s="75"/>
      <c r="AL150" s="75"/>
      <c r="AN150" s="75"/>
      <c r="AP150" s="75"/>
      <c r="AR150" s="75"/>
      <c r="AS150" s="61"/>
      <c r="AT150" s="75"/>
      <c r="AU150" s="61"/>
      <c r="AV150" s="75"/>
      <c r="AW150" s="61"/>
      <c r="AX150" s="75"/>
      <c r="AY150" s="61"/>
      <c r="AZ150" s="75"/>
      <c r="BA150" s="61"/>
      <c r="BB150" s="75"/>
      <c r="BC150" s="61"/>
      <c r="BD150" s="75"/>
      <c r="BE150" s="61"/>
      <c r="BF150" s="75"/>
      <c r="BG150" s="61"/>
      <c r="BH150" s="75"/>
      <c r="BJ150" s="75"/>
      <c r="BK150" s="80"/>
      <c r="BM150" s="51"/>
      <c r="BN150" s="51"/>
    </row>
    <row r="151" spans="8:66" x14ac:dyDescent="0.3">
      <c r="H151" s="79"/>
      <c r="I151" s="37"/>
      <c r="J151" s="75"/>
      <c r="K151" s="37"/>
      <c r="L151" s="75"/>
      <c r="M151" s="37"/>
      <c r="N151" s="75"/>
      <c r="O151" s="37"/>
      <c r="P151" s="75"/>
      <c r="Q151" s="37"/>
      <c r="R151" s="75"/>
      <c r="S151" s="37"/>
      <c r="T151" s="75"/>
      <c r="U151" s="61"/>
      <c r="V151" s="75"/>
      <c r="W151" s="37"/>
      <c r="X151" s="75"/>
      <c r="Y151" s="61"/>
      <c r="Z151" s="75"/>
      <c r="AA151" s="61"/>
      <c r="AB151" s="75"/>
      <c r="AC151" s="61"/>
      <c r="AD151" s="75"/>
      <c r="AE151" s="61"/>
      <c r="AF151" s="75"/>
      <c r="AG151" s="61"/>
      <c r="AH151" s="75"/>
      <c r="AJ151" s="75"/>
      <c r="AL151" s="75"/>
      <c r="AN151" s="75"/>
      <c r="AP151" s="75"/>
      <c r="AR151" s="75"/>
      <c r="AS151" s="61"/>
      <c r="AT151" s="75"/>
      <c r="AU151" s="61"/>
      <c r="AV151" s="75"/>
      <c r="AW151" s="61"/>
      <c r="AX151" s="75"/>
      <c r="AY151" s="61"/>
      <c r="AZ151" s="75"/>
      <c r="BA151" s="61"/>
      <c r="BB151" s="75"/>
      <c r="BC151" s="61"/>
      <c r="BD151" s="75"/>
      <c r="BE151" s="61"/>
      <c r="BF151" s="75"/>
      <c r="BG151" s="61"/>
      <c r="BH151" s="75"/>
      <c r="BJ151" s="75"/>
      <c r="BK151" s="80"/>
      <c r="BM151" s="51"/>
      <c r="BN151" s="51"/>
    </row>
    <row r="152" spans="8:66" x14ac:dyDescent="0.3">
      <c r="H152" s="79"/>
      <c r="I152" s="37"/>
      <c r="J152" s="75"/>
      <c r="K152" s="37"/>
      <c r="L152" s="75"/>
      <c r="M152" s="37"/>
      <c r="N152" s="75"/>
      <c r="O152" s="37"/>
      <c r="P152" s="75"/>
      <c r="Q152" s="37"/>
      <c r="R152" s="75"/>
      <c r="S152" s="37"/>
      <c r="T152" s="75"/>
      <c r="U152" s="61"/>
      <c r="V152" s="75"/>
      <c r="W152" s="37"/>
      <c r="X152" s="75"/>
      <c r="Y152" s="61"/>
      <c r="Z152" s="75"/>
      <c r="AA152" s="61"/>
      <c r="AB152" s="75"/>
      <c r="AC152" s="61"/>
      <c r="AD152" s="75"/>
      <c r="AE152" s="61"/>
      <c r="AF152" s="75"/>
      <c r="AG152" s="61"/>
      <c r="AH152" s="75"/>
      <c r="AJ152" s="75"/>
      <c r="AL152" s="75"/>
      <c r="AN152" s="75"/>
      <c r="AP152" s="75"/>
      <c r="AR152" s="75"/>
      <c r="AS152" s="61"/>
      <c r="AT152" s="75"/>
      <c r="AU152" s="61"/>
      <c r="AV152" s="75"/>
      <c r="AW152" s="61"/>
      <c r="AX152" s="75"/>
      <c r="AY152" s="61"/>
      <c r="AZ152" s="75"/>
      <c r="BA152" s="61"/>
      <c r="BB152" s="75"/>
      <c r="BC152" s="61"/>
      <c r="BD152" s="75"/>
      <c r="BE152" s="61"/>
      <c r="BF152" s="75"/>
      <c r="BG152" s="61"/>
      <c r="BH152" s="75"/>
      <c r="BJ152" s="75"/>
      <c r="BK152" s="80"/>
      <c r="BM152" s="51"/>
      <c r="BN152" s="51"/>
    </row>
    <row r="153" spans="8:66" x14ac:dyDescent="0.3">
      <c r="H153" s="79"/>
      <c r="I153" s="37"/>
      <c r="J153" s="75"/>
      <c r="K153" s="37"/>
      <c r="L153" s="75"/>
      <c r="M153" s="37"/>
      <c r="N153" s="75"/>
      <c r="O153" s="37"/>
      <c r="P153" s="75"/>
      <c r="Q153" s="37"/>
      <c r="R153" s="75"/>
      <c r="S153" s="37"/>
      <c r="T153" s="75"/>
      <c r="U153" s="61"/>
      <c r="V153" s="75"/>
      <c r="W153" s="37"/>
      <c r="X153" s="75"/>
      <c r="Y153" s="61"/>
      <c r="Z153" s="75"/>
      <c r="AA153" s="61"/>
      <c r="AB153" s="75"/>
      <c r="AC153" s="61"/>
      <c r="AD153" s="75"/>
      <c r="AE153" s="61"/>
      <c r="AF153" s="75"/>
      <c r="AG153" s="61"/>
      <c r="AH153" s="75"/>
      <c r="AJ153" s="75"/>
      <c r="AL153" s="75"/>
      <c r="AN153" s="75"/>
      <c r="AP153" s="75"/>
      <c r="AR153" s="75"/>
      <c r="AS153" s="61"/>
      <c r="AT153" s="75"/>
      <c r="AU153" s="61"/>
      <c r="AV153" s="75"/>
      <c r="AW153" s="61"/>
      <c r="AX153" s="75"/>
      <c r="AY153" s="61"/>
      <c r="AZ153" s="75"/>
      <c r="BA153" s="61"/>
      <c r="BB153" s="75"/>
      <c r="BC153" s="61"/>
      <c r="BD153" s="75"/>
      <c r="BE153" s="61"/>
      <c r="BF153" s="75"/>
      <c r="BG153" s="61"/>
      <c r="BH153" s="75"/>
      <c r="BJ153" s="75"/>
      <c r="BK153" s="80"/>
      <c r="BM153" s="51"/>
      <c r="BN153" s="51"/>
    </row>
    <row r="154" spans="8:66" x14ac:dyDescent="0.3">
      <c r="H154" s="79"/>
      <c r="I154" s="37"/>
      <c r="J154" s="75"/>
      <c r="K154" s="37"/>
      <c r="L154" s="75"/>
      <c r="M154" s="37"/>
      <c r="N154" s="75"/>
      <c r="O154" s="37"/>
      <c r="P154" s="75"/>
      <c r="Q154" s="37"/>
      <c r="R154" s="75"/>
      <c r="S154" s="37"/>
      <c r="T154" s="75"/>
      <c r="U154" s="61"/>
      <c r="V154" s="75"/>
      <c r="W154" s="37"/>
      <c r="X154" s="75"/>
      <c r="Y154" s="61"/>
      <c r="Z154" s="75"/>
      <c r="AA154" s="61"/>
      <c r="AB154" s="75"/>
      <c r="AC154" s="61"/>
      <c r="AD154" s="75"/>
      <c r="AE154" s="61"/>
      <c r="AF154" s="75"/>
      <c r="AG154" s="61"/>
      <c r="AH154" s="75"/>
      <c r="AJ154" s="75"/>
      <c r="AL154" s="75"/>
      <c r="AN154" s="75"/>
      <c r="AP154" s="75"/>
      <c r="AR154" s="75"/>
      <c r="AS154" s="61"/>
      <c r="AT154" s="75"/>
      <c r="AU154" s="61"/>
      <c r="AV154" s="75"/>
      <c r="AW154" s="61"/>
      <c r="AX154" s="75"/>
      <c r="AY154" s="61"/>
      <c r="AZ154" s="75"/>
      <c r="BA154" s="61"/>
      <c r="BB154" s="75"/>
      <c r="BC154" s="61"/>
      <c r="BD154" s="75"/>
      <c r="BE154" s="61"/>
      <c r="BF154" s="75"/>
      <c r="BG154" s="61"/>
      <c r="BH154" s="75"/>
      <c r="BJ154" s="75"/>
      <c r="BK154" s="80"/>
      <c r="BM154" s="51"/>
      <c r="BN154" s="51"/>
    </row>
    <row r="155" spans="8:66" x14ac:dyDescent="0.3">
      <c r="H155" s="79"/>
      <c r="I155" s="37"/>
      <c r="J155" s="75"/>
      <c r="K155" s="37"/>
      <c r="L155" s="75"/>
      <c r="M155" s="37"/>
      <c r="N155" s="75"/>
      <c r="O155" s="37"/>
      <c r="P155" s="75"/>
      <c r="Q155" s="37"/>
      <c r="R155" s="75"/>
      <c r="S155" s="37"/>
      <c r="T155" s="75"/>
      <c r="U155" s="61"/>
      <c r="V155" s="75"/>
      <c r="W155" s="37"/>
      <c r="X155" s="75"/>
      <c r="Y155" s="61"/>
      <c r="Z155" s="75"/>
      <c r="AA155" s="61"/>
      <c r="AB155" s="75"/>
      <c r="AC155" s="61"/>
      <c r="AD155" s="75"/>
      <c r="AE155" s="61"/>
      <c r="AF155" s="75"/>
      <c r="AG155" s="61"/>
      <c r="AH155" s="75"/>
      <c r="AJ155" s="75"/>
      <c r="AL155" s="75"/>
      <c r="AN155" s="75"/>
      <c r="AP155" s="75"/>
      <c r="AR155" s="75"/>
      <c r="AS155" s="61"/>
      <c r="AT155" s="75"/>
      <c r="AU155" s="61"/>
      <c r="AV155" s="75"/>
      <c r="AW155" s="61"/>
      <c r="AX155" s="75"/>
      <c r="AY155" s="61"/>
      <c r="AZ155" s="75"/>
      <c r="BA155" s="61"/>
      <c r="BB155" s="75"/>
      <c r="BC155" s="61"/>
      <c r="BD155" s="75"/>
      <c r="BE155" s="61"/>
      <c r="BF155" s="75"/>
      <c r="BG155" s="61"/>
      <c r="BH155" s="75"/>
      <c r="BJ155" s="75"/>
      <c r="BK155" s="80"/>
      <c r="BM155" s="51"/>
      <c r="BN155" s="51"/>
    </row>
    <row r="156" spans="8:66" x14ac:dyDescent="0.3">
      <c r="H156" s="79"/>
      <c r="I156" s="37"/>
      <c r="J156" s="75"/>
      <c r="K156" s="37"/>
      <c r="L156" s="75"/>
      <c r="M156" s="37"/>
      <c r="N156" s="75"/>
      <c r="O156" s="37"/>
      <c r="P156" s="75"/>
      <c r="Q156" s="37"/>
      <c r="R156" s="75"/>
      <c r="S156" s="37"/>
      <c r="T156" s="75"/>
      <c r="U156" s="61"/>
      <c r="V156" s="75"/>
      <c r="W156" s="37"/>
      <c r="X156" s="75"/>
      <c r="Y156" s="61"/>
      <c r="Z156" s="75"/>
      <c r="AA156" s="61"/>
      <c r="AB156" s="75"/>
      <c r="AC156" s="61"/>
      <c r="AD156" s="75"/>
      <c r="AE156" s="61"/>
      <c r="AF156" s="75"/>
      <c r="AG156" s="61"/>
      <c r="AH156" s="75"/>
      <c r="AJ156" s="75"/>
      <c r="AL156" s="75"/>
      <c r="AN156" s="75"/>
      <c r="AP156" s="75"/>
      <c r="AR156" s="75"/>
      <c r="AS156" s="61"/>
      <c r="AT156" s="75"/>
      <c r="AU156" s="61"/>
      <c r="AV156" s="75"/>
      <c r="AW156" s="61"/>
      <c r="AX156" s="75"/>
      <c r="AY156" s="61"/>
      <c r="AZ156" s="75"/>
      <c r="BA156" s="61"/>
      <c r="BB156" s="75"/>
      <c r="BC156" s="61"/>
      <c r="BD156" s="75"/>
      <c r="BE156" s="61"/>
      <c r="BF156" s="75"/>
      <c r="BG156" s="61"/>
      <c r="BH156" s="75"/>
      <c r="BJ156" s="75"/>
      <c r="BK156" s="80"/>
      <c r="BM156" s="51"/>
      <c r="BN156" s="51"/>
    </row>
    <row r="157" spans="8:66" x14ac:dyDescent="0.3">
      <c r="H157" s="79"/>
      <c r="I157" s="37"/>
      <c r="J157" s="75"/>
      <c r="K157" s="37"/>
      <c r="L157" s="75"/>
      <c r="M157" s="37"/>
      <c r="N157" s="75"/>
      <c r="O157" s="37"/>
      <c r="P157" s="75"/>
      <c r="Q157" s="37"/>
      <c r="R157" s="75"/>
      <c r="S157" s="37"/>
      <c r="T157" s="75"/>
      <c r="U157" s="61"/>
      <c r="V157" s="75"/>
      <c r="W157" s="37"/>
      <c r="X157" s="75"/>
      <c r="Y157" s="61"/>
      <c r="Z157" s="75"/>
      <c r="AA157" s="61"/>
      <c r="AB157" s="75"/>
      <c r="AC157" s="61"/>
      <c r="AD157" s="75"/>
      <c r="AE157" s="61"/>
      <c r="AF157" s="75"/>
      <c r="AG157" s="61"/>
      <c r="AH157" s="75"/>
      <c r="AJ157" s="75"/>
      <c r="AL157" s="75"/>
      <c r="AN157" s="75"/>
      <c r="AP157" s="75"/>
      <c r="AR157" s="75"/>
      <c r="AS157" s="61"/>
      <c r="AT157" s="75"/>
      <c r="AU157" s="61"/>
      <c r="AV157" s="75"/>
      <c r="AW157" s="61"/>
      <c r="AX157" s="75"/>
      <c r="AY157" s="61"/>
      <c r="AZ157" s="75"/>
      <c r="BA157" s="61"/>
      <c r="BB157" s="75"/>
      <c r="BC157" s="61"/>
      <c r="BD157" s="75"/>
      <c r="BE157" s="61"/>
      <c r="BF157" s="75"/>
      <c r="BG157" s="61"/>
      <c r="BH157" s="75"/>
      <c r="BJ157" s="75"/>
      <c r="BK157" s="80"/>
      <c r="BM157" s="51"/>
      <c r="BN157" s="51"/>
    </row>
    <row r="158" spans="8:66" x14ac:dyDescent="0.3">
      <c r="H158" s="79"/>
      <c r="I158" s="37"/>
      <c r="J158" s="75"/>
      <c r="K158" s="37"/>
      <c r="L158" s="75"/>
      <c r="M158" s="37"/>
      <c r="N158" s="75"/>
      <c r="O158" s="37"/>
      <c r="P158" s="75"/>
      <c r="Q158" s="37"/>
      <c r="R158" s="75"/>
      <c r="S158" s="37"/>
      <c r="T158" s="75"/>
      <c r="U158" s="61"/>
      <c r="V158" s="75"/>
      <c r="W158" s="37"/>
      <c r="X158" s="75"/>
      <c r="Y158" s="61"/>
      <c r="Z158" s="75"/>
      <c r="AA158" s="61"/>
      <c r="AB158" s="75"/>
      <c r="AC158" s="61"/>
      <c r="AD158" s="75"/>
      <c r="AE158" s="61"/>
      <c r="AF158" s="75"/>
      <c r="AG158" s="61"/>
      <c r="AH158" s="75"/>
      <c r="AJ158" s="75"/>
      <c r="AL158" s="75"/>
      <c r="AN158" s="75"/>
      <c r="AP158" s="75"/>
      <c r="AR158" s="75"/>
      <c r="AS158" s="61"/>
      <c r="AT158" s="75"/>
      <c r="AU158" s="61"/>
      <c r="AV158" s="75"/>
      <c r="AW158" s="61"/>
      <c r="AX158" s="75"/>
      <c r="AY158" s="61"/>
      <c r="AZ158" s="75"/>
      <c r="BA158" s="61"/>
      <c r="BB158" s="75"/>
      <c r="BC158" s="61"/>
      <c r="BD158" s="75"/>
      <c r="BE158" s="61"/>
      <c r="BF158" s="75"/>
      <c r="BG158" s="61"/>
      <c r="BH158" s="75"/>
      <c r="BJ158" s="75"/>
      <c r="BK158" s="80"/>
      <c r="BM158" s="51"/>
      <c r="BN158" s="51"/>
    </row>
    <row r="159" spans="8:66" x14ac:dyDescent="0.3">
      <c r="H159" s="79"/>
      <c r="I159" s="37"/>
      <c r="J159" s="75"/>
      <c r="K159" s="37"/>
      <c r="L159" s="75"/>
      <c r="M159" s="37"/>
      <c r="N159" s="75"/>
      <c r="O159" s="37"/>
      <c r="P159" s="75"/>
      <c r="Q159" s="37"/>
      <c r="R159" s="75"/>
      <c r="S159" s="37"/>
      <c r="T159" s="75"/>
      <c r="U159" s="61"/>
      <c r="V159" s="75"/>
      <c r="W159" s="37"/>
      <c r="X159" s="75"/>
      <c r="Y159" s="61"/>
      <c r="Z159" s="75"/>
      <c r="AA159" s="61"/>
      <c r="AB159" s="75"/>
      <c r="AC159" s="61"/>
      <c r="AD159" s="75"/>
      <c r="AE159" s="61"/>
      <c r="AF159" s="75"/>
      <c r="AG159" s="61"/>
      <c r="AH159" s="75"/>
      <c r="AJ159" s="75"/>
      <c r="AL159" s="75"/>
      <c r="AN159" s="75"/>
      <c r="AP159" s="75"/>
      <c r="AR159" s="75"/>
      <c r="AS159" s="61"/>
      <c r="AT159" s="75"/>
      <c r="AU159" s="61"/>
      <c r="AV159" s="75"/>
      <c r="AW159" s="61"/>
      <c r="AX159" s="75"/>
      <c r="AY159" s="61"/>
      <c r="AZ159" s="75"/>
      <c r="BA159" s="61"/>
      <c r="BB159" s="75"/>
      <c r="BC159" s="61"/>
      <c r="BD159" s="75"/>
      <c r="BE159" s="61"/>
      <c r="BF159" s="75"/>
      <c r="BG159" s="61"/>
      <c r="BH159" s="75"/>
      <c r="BJ159" s="75"/>
      <c r="BK159" s="80"/>
      <c r="BM159" s="51"/>
      <c r="BN159" s="51"/>
    </row>
    <row r="160" spans="8:66" x14ac:dyDescent="0.3">
      <c r="H160" s="79"/>
      <c r="I160" s="37"/>
      <c r="J160" s="75"/>
      <c r="K160" s="37"/>
      <c r="L160" s="75"/>
      <c r="M160" s="37"/>
      <c r="N160" s="75"/>
      <c r="O160" s="37"/>
      <c r="P160" s="75"/>
      <c r="Q160" s="37"/>
      <c r="R160" s="75"/>
      <c r="S160" s="37"/>
      <c r="T160" s="75"/>
      <c r="U160" s="61"/>
      <c r="V160" s="75"/>
      <c r="W160" s="37"/>
      <c r="X160" s="75"/>
      <c r="Y160" s="61"/>
      <c r="Z160" s="75"/>
      <c r="AA160" s="61"/>
      <c r="AB160" s="75"/>
      <c r="AC160" s="61"/>
      <c r="AD160" s="75"/>
      <c r="AE160" s="61"/>
      <c r="AF160" s="75"/>
      <c r="AG160" s="61"/>
      <c r="AH160" s="75"/>
      <c r="AJ160" s="75"/>
      <c r="AL160" s="75"/>
      <c r="AN160" s="75"/>
      <c r="AP160" s="75"/>
      <c r="AR160" s="75"/>
      <c r="AS160" s="61"/>
      <c r="AT160" s="75"/>
      <c r="AU160" s="61"/>
      <c r="AV160" s="75"/>
      <c r="AW160" s="61"/>
      <c r="AX160" s="75"/>
      <c r="AY160" s="61"/>
      <c r="AZ160" s="75"/>
      <c r="BA160" s="61"/>
      <c r="BB160" s="75"/>
      <c r="BC160" s="61"/>
      <c r="BD160" s="75"/>
      <c r="BE160" s="61"/>
      <c r="BF160" s="75"/>
      <c r="BG160" s="61"/>
      <c r="BH160" s="75"/>
      <c r="BJ160" s="75"/>
      <c r="BK160" s="80"/>
      <c r="BM160" s="51"/>
      <c r="BN160" s="51"/>
    </row>
    <row r="161" spans="8:66" x14ac:dyDescent="0.3">
      <c r="H161" s="79"/>
      <c r="I161" s="37"/>
      <c r="J161" s="75"/>
      <c r="K161" s="37"/>
      <c r="L161" s="75"/>
      <c r="M161" s="37"/>
      <c r="N161" s="75"/>
      <c r="O161" s="37"/>
      <c r="P161" s="75"/>
      <c r="Q161" s="37"/>
      <c r="R161" s="75"/>
      <c r="S161" s="37"/>
      <c r="T161" s="75"/>
      <c r="U161" s="61"/>
      <c r="V161" s="75"/>
      <c r="W161" s="37"/>
      <c r="X161" s="75"/>
      <c r="Y161" s="61"/>
      <c r="Z161" s="75"/>
      <c r="AA161" s="61"/>
      <c r="AB161" s="75"/>
      <c r="AC161" s="61"/>
      <c r="AD161" s="75"/>
      <c r="AE161" s="61"/>
      <c r="AF161" s="75"/>
      <c r="AG161" s="61"/>
      <c r="AH161" s="75"/>
      <c r="AJ161" s="75"/>
      <c r="AL161" s="75"/>
      <c r="AN161" s="75"/>
      <c r="AP161" s="75"/>
      <c r="AR161" s="75"/>
      <c r="AS161" s="61"/>
      <c r="AT161" s="75"/>
      <c r="AU161" s="61"/>
      <c r="AV161" s="75"/>
      <c r="AW161" s="61"/>
      <c r="AX161" s="75"/>
      <c r="AY161" s="61"/>
      <c r="AZ161" s="75"/>
      <c r="BA161" s="61"/>
      <c r="BB161" s="75"/>
      <c r="BC161" s="61"/>
      <c r="BD161" s="75"/>
      <c r="BE161" s="61"/>
      <c r="BF161" s="75"/>
      <c r="BG161" s="61"/>
      <c r="BH161" s="75"/>
      <c r="BJ161" s="75"/>
      <c r="BK161" s="80"/>
      <c r="BM161" s="51"/>
      <c r="BN161" s="51"/>
    </row>
    <row r="162" spans="8:66" x14ac:dyDescent="0.3">
      <c r="H162" s="79"/>
      <c r="I162" s="37"/>
      <c r="J162" s="75"/>
      <c r="K162" s="37"/>
      <c r="L162" s="75"/>
      <c r="M162" s="37"/>
      <c r="N162" s="75"/>
      <c r="O162" s="37"/>
      <c r="P162" s="75"/>
      <c r="Q162" s="37"/>
      <c r="R162" s="75"/>
      <c r="S162" s="37"/>
      <c r="T162" s="75"/>
      <c r="U162" s="61"/>
      <c r="V162" s="75"/>
      <c r="W162" s="37"/>
      <c r="X162" s="75"/>
      <c r="Y162" s="61"/>
      <c r="Z162" s="75"/>
      <c r="AA162" s="61"/>
      <c r="AB162" s="75"/>
      <c r="AC162" s="61"/>
      <c r="AD162" s="75"/>
      <c r="AE162" s="61"/>
      <c r="AF162" s="75"/>
      <c r="AG162" s="61"/>
      <c r="AH162" s="75"/>
      <c r="AJ162" s="75"/>
      <c r="AL162" s="75"/>
      <c r="AN162" s="75"/>
      <c r="AP162" s="75"/>
      <c r="AR162" s="75"/>
      <c r="AS162" s="61"/>
      <c r="AT162" s="75"/>
      <c r="AU162" s="61"/>
      <c r="AV162" s="75"/>
      <c r="AW162" s="61"/>
      <c r="AX162" s="75"/>
      <c r="AY162" s="61"/>
      <c r="AZ162" s="75"/>
      <c r="BA162" s="61"/>
      <c r="BB162" s="75"/>
      <c r="BC162" s="61"/>
      <c r="BD162" s="75"/>
      <c r="BE162" s="61"/>
      <c r="BF162" s="75"/>
      <c r="BG162" s="61"/>
      <c r="BH162" s="75"/>
      <c r="BJ162" s="75"/>
      <c r="BK162" s="80"/>
      <c r="BM162" s="51"/>
      <c r="BN162" s="51"/>
    </row>
    <row r="163" spans="8:66" x14ac:dyDescent="0.3">
      <c r="H163" s="79"/>
      <c r="I163" s="37"/>
      <c r="J163" s="75"/>
      <c r="K163" s="37"/>
      <c r="L163" s="75"/>
      <c r="M163" s="37"/>
      <c r="N163" s="75"/>
      <c r="O163" s="37"/>
      <c r="P163" s="75"/>
      <c r="Q163" s="37"/>
      <c r="R163" s="75"/>
      <c r="S163" s="37"/>
      <c r="T163" s="75"/>
      <c r="U163" s="61"/>
      <c r="V163" s="75"/>
      <c r="W163" s="37"/>
      <c r="X163" s="75"/>
      <c r="Y163" s="61"/>
      <c r="Z163" s="75"/>
      <c r="AA163" s="61"/>
      <c r="AB163" s="75"/>
      <c r="AC163" s="61"/>
      <c r="AD163" s="75"/>
      <c r="AE163" s="61"/>
      <c r="AF163" s="75"/>
      <c r="AG163" s="61"/>
      <c r="AH163" s="75"/>
      <c r="AJ163" s="75"/>
      <c r="AL163" s="75"/>
      <c r="AN163" s="75"/>
      <c r="AP163" s="75"/>
      <c r="AR163" s="75"/>
      <c r="AS163" s="61"/>
      <c r="AT163" s="75"/>
      <c r="AU163" s="61"/>
      <c r="AV163" s="75"/>
      <c r="AW163" s="61"/>
      <c r="AX163" s="75"/>
      <c r="AY163" s="61"/>
      <c r="AZ163" s="75"/>
      <c r="BA163" s="61"/>
      <c r="BB163" s="75"/>
      <c r="BC163" s="61"/>
      <c r="BD163" s="75"/>
      <c r="BE163" s="61"/>
      <c r="BF163" s="75"/>
      <c r="BG163" s="61"/>
      <c r="BH163" s="75"/>
      <c r="BJ163" s="75"/>
      <c r="BK163" s="80"/>
      <c r="BM163" s="51"/>
      <c r="BN163" s="51"/>
    </row>
    <row r="164" spans="8:66" x14ac:dyDescent="0.3">
      <c r="H164" s="79"/>
      <c r="I164" s="37"/>
      <c r="J164" s="75"/>
      <c r="K164" s="37"/>
      <c r="L164" s="75"/>
      <c r="M164" s="37"/>
      <c r="N164" s="75"/>
      <c r="O164" s="37"/>
      <c r="P164" s="75"/>
      <c r="Q164" s="37"/>
      <c r="R164" s="75"/>
      <c r="S164" s="37"/>
      <c r="T164" s="75"/>
      <c r="U164" s="61"/>
      <c r="V164" s="75"/>
      <c r="W164" s="37"/>
      <c r="X164" s="75"/>
      <c r="Y164" s="61"/>
      <c r="Z164" s="75"/>
      <c r="AA164" s="61"/>
      <c r="AB164" s="75"/>
      <c r="AC164" s="61"/>
      <c r="AD164" s="75"/>
      <c r="AE164" s="61"/>
      <c r="AF164" s="75"/>
      <c r="AG164" s="61"/>
      <c r="AH164" s="75"/>
      <c r="AJ164" s="75"/>
      <c r="AL164" s="75"/>
      <c r="AN164" s="75"/>
      <c r="AP164" s="75"/>
      <c r="AR164" s="75"/>
      <c r="AS164" s="61"/>
      <c r="AT164" s="75"/>
      <c r="AU164" s="61"/>
      <c r="AV164" s="75"/>
      <c r="AW164" s="61"/>
      <c r="AX164" s="75"/>
      <c r="AY164" s="61"/>
      <c r="AZ164" s="75"/>
      <c r="BA164" s="61"/>
      <c r="BB164" s="75"/>
      <c r="BC164" s="61"/>
      <c r="BD164" s="75"/>
      <c r="BE164" s="61"/>
      <c r="BF164" s="75"/>
      <c r="BG164" s="61"/>
      <c r="BH164" s="75"/>
      <c r="BJ164" s="75"/>
      <c r="BK164" s="80"/>
      <c r="BM164" s="51"/>
      <c r="BN164" s="51"/>
    </row>
    <row r="165" spans="8:66" x14ac:dyDescent="0.3">
      <c r="H165" s="79"/>
      <c r="I165" s="37"/>
      <c r="J165" s="75"/>
      <c r="K165" s="37"/>
      <c r="L165" s="75"/>
      <c r="M165" s="37"/>
      <c r="N165" s="75"/>
      <c r="O165" s="37"/>
      <c r="P165" s="75"/>
      <c r="Q165" s="37"/>
      <c r="R165" s="75"/>
      <c r="S165" s="37"/>
      <c r="T165" s="75"/>
      <c r="U165" s="61"/>
      <c r="V165" s="75"/>
      <c r="W165" s="37"/>
      <c r="X165" s="75"/>
      <c r="Y165" s="61"/>
      <c r="Z165" s="75"/>
      <c r="AA165" s="61"/>
      <c r="AB165" s="75"/>
      <c r="AC165" s="61"/>
      <c r="AD165" s="75"/>
      <c r="AE165" s="61"/>
      <c r="AF165" s="75"/>
      <c r="AG165" s="61"/>
      <c r="AH165" s="75"/>
      <c r="AJ165" s="75"/>
      <c r="AL165" s="75"/>
      <c r="AN165" s="75"/>
      <c r="AP165" s="75"/>
      <c r="AR165" s="75"/>
      <c r="AS165" s="61"/>
      <c r="AT165" s="75"/>
      <c r="AU165" s="61"/>
      <c r="AV165" s="75"/>
      <c r="AW165" s="61"/>
      <c r="AX165" s="75"/>
      <c r="AY165" s="61"/>
      <c r="AZ165" s="75"/>
      <c r="BA165" s="61"/>
      <c r="BB165" s="75"/>
      <c r="BC165" s="61"/>
      <c r="BD165" s="75"/>
      <c r="BE165" s="61"/>
      <c r="BF165" s="75"/>
      <c r="BG165" s="61"/>
      <c r="BH165" s="75"/>
      <c r="BJ165" s="75"/>
      <c r="BK165" s="80"/>
      <c r="BM165" s="51"/>
      <c r="BN165" s="51"/>
    </row>
    <row r="166" spans="8:66" x14ac:dyDescent="0.3">
      <c r="H166" s="79"/>
      <c r="I166" s="37"/>
      <c r="J166" s="75"/>
      <c r="K166" s="37"/>
      <c r="L166" s="75"/>
      <c r="M166" s="37"/>
      <c r="N166" s="75"/>
      <c r="O166" s="37"/>
      <c r="P166" s="75"/>
      <c r="Q166" s="37"/>
      <c r="R166" s="75"/>
      <c r="S166" s="37"/>
      <c r="T166" s="75"/>
      <c r="U166" s="61"/>
      <c r="V166" s="75"/>
      <c r="W166" s="37"/>
      <c r="X166" s="75"/>
      <c r="Y166" s="61"/>
      <c r="Z166" s="75"/>
      <c r="AA166" s="61"/>
      <c r="AB166" s="75"/>
      <c r="AC166" s="61"/>
      <c r="AD166" s="75"/>
      <c r="AE166" s="61"/>
      <c r="AF166" s="75"/>
      <c r="AG166" s="61"/>
      <c r="AH166" s="75"/>
      <c r="AJ166" s="75"/>
      <c r="AL166" s="75"/>
      <c r="AN166" s="75"/>
      <c r="AP166" s="75"/>
      <c r="AR166" s="75"/>
      <c r="AS166" s="61"/>
      <c r="AT166" s="75"/>
      <c r="AU166" s="61"/>
      <c r="AV166" s="75"/>
      <c r="AW166" s="61"/>
      <c r="AX166" s="75"/>
      <c r="AY166" s="61"/>
      <c r="AZ166" s="75"/>
      <c r="BA166" s="61"/>
      <c r="BB166" s="75"/>
      <c r="BC166" s="61"/>
      <c r="BD166" s="75"/>
      <c r="BE166" s="61"/>
      <c r="BF166" s="75"/>
      <c r="BG166" s="61"/>
      <c r="BH166" s="75"/>
      <c r="BJ166" s="75"/>
      <c r="BK166" s="80"/>
      <c r="BM166" s="51"/>
      <c r="BN166" s="51"/>
    </row>
    <row r="167" spans="8:66" x14ac:dyDescent="0.3">
      <c r="H167" s="79"/>
      <c r="I167" s="37"/>
      <c r="J167" s="75"/>
      <c r="K167" s="37"/>
      <c r="L167" s="75"/>
      <c r="M167" s="37"/>
      <c r="N167" s="75"/>
      <c r="O167" s="37"/>
      <c r="P167" s="75"/>
      <c r="Q167" s="37"/>
      <c r="R167" s="75"/>
      <c r="S167" s="37"/>
      <c r="T167" s="75"/>
      <c r="U167" s="61"/>
      <c r="V167" s="75"/>
      <c r="W167" s="37"/>
      <c r="X167" s="75"/>
      <c r="Y167" s="61"/>
      <c r="Z167" s="75"/>
      <c r="AA167" s="61"/>
      <c r="AB167" s="75"/>
      <c r="AC167" s="61"/>
      <c r="AD167" s="75"/>
      <c r="AE167" s="61"/>
      <c r="AF167" s="75"/>
      <c r="AG167" s="61"/>
      <c r="AH167" s="75"/>
      <c r="AJ167" s="75"/>
      <c r="AL167" s="75"/>
      <c r="AN167" s="75"/>
      <c r="AP167" s="75"/>
      <c r="AR167" s="75"/>
      <c r="AS167" s="61"/>
      <c r="AT167" s="75"/>
      <c r="AU167" s="61"/>
      <c r="AV167" s="75"/>
      <c r="AW167" s="61"/>
      <c r="AX167" s="75"/>
      <c r="AY167" s="61"/>
      <c r="AZ167" s="75"/>
      <c r="BA167" s="61"/>
      <c r="BB167" s="75"/>
      <c r="BC167" s="61"/>
      <c r="BD167" s="75"/>
      <c r="BE167" s="61"/>
      <c r="BF167" s="75"/>
      <c r="BG167" s="61"/>
      <c r="BH167" s="75"/>
      <c r="BJ167" s="75"/>
      <c r="BK167" s="80"/>
      <c r="BM167" s="51"/>
      <c r="BN167" s="51"/>
    </row>
    <row r="168" spans="8:66" x14ac:dyDescent="0.3">
      <c r="H168" s="79"/>
      <c r="I168" s="37"/>
      <c r="J168" s="75"/>
      <c r="K168" s="37"/>
      <c r="L168" s="75"/>
      <c r="M168" s="37"/>
      <c r="N168" s="75"/>
      <c r="O168" s="37"/>
      <c r="P168" s="75"/>
      <c r="Q168" s="37"/>
      <c r="R168" s="75"/>
      <c r="S168" s="37"/>
      <c r="T168" s="75"/>
      <c r="U168" s="61"/>
      <c r="V168" s="75"/>
      <c r="W168" s="37"/>
      <c r="X168" s="75"/>
      <c r="Y168" s="61"/>
      <c r="Z168" s="75"/>
      <c r="AA168" s="61"/>
      <c r="AB168" s="75"/>
      <c r="AC168" s="61"/>
      <c r="AD168" s="75"/>
      <c r="AE168" s="61"/>
      <c r="AF168" s="75"/>
      <c r="AG168" s="61"/>
      <c r="AH168" s="75"/>
      <c r="AJ168" s="75"/>
      <c r="AL168" s="75"/>
      <c r="AN168" s="75"/>
      <c r="AP168" s="75"/>
      <c r="AR168" s="75"/>
      <c r="AS168" s="61"/>
      <c r="AT168" s="75"/>
      <c r="AU168" s="61"/>
      <c r="AV168" s="75"/>
      <c r="AW168" s="61"/>
      <c r="AX168" s="75"/>
      <c r="AY168" s="61"/>
      <c r="AZ168" s="75"/>
      <c r="BA168" s="61"/>
      <c r="BB168" s="75"/>
      <c r="BC168" s="61"/>
      <c r="BD168" s="75"/>
      <c r="BE168" s="61"/>
      <c r="BF168" s="75"/>
      <c r="BG168" s="61"/>
      <c r="BH168" s="75"/>
      <c r="BJ168" s="75"/>
      <c r="BK168" s="80"/>
      <c r="BM168" s="51"/>
      <c r="BN168" s="51"/>
    </row>
    <row r="169" spans="8:66" x14ac:dyDescent="0.3">
      <c r="H169" s="79"/>
      <c r="I169" s="37"/>
      <c r="J169" s="75"/>
      <c r="K169" s="37"/>
      <c r="L169" s="75"/>
      <c r="M169" s="37"/>
      <c r="N169" s="75"/>
      <c r="O169" s="37"/>
      <c r="P169" s="75"/>
      <c r="Q169" s="37"/>
      <c r="R169" s="75"/>
      <c r="S169" s="37"/>
      <c r="T169" s="75"/>
      <c r="U169" s="61"/>
      <c r="V169" s="75"/>
      <c r="W169" s="37"/>
      <c r="X169" s="75"/>
      <c r="Y169" s="61"/>
      <c r="Z169" s="75"/>
      <c r="AA169" s="61"/>
      <c r="AB169" s="75"/>
      <c r="AC169" s="61"/>
      <c r="AD169" s="75"/>
      <c r="AE169" s="61"/>
      <c r="AF169" s="75"/>
      <c r="AG169" s="61"/>
      <c r="AH169" s="75"/>
      <c r="AJ169" s="75"/>
      <c r="AL169" s="75"/>
      <c r="AN169" s="75"/>
      <c r="AP169" s="75"/>
      <c r="AR169" s="75"/>
      <c r="AS169" s="61"/>
      <c r="AT169" s="75"/>
      <c r="AU169" s="61"/>
      <c r="AV169" s="75"/>
      <c r="AW169" s="61"/>
      <c r="AX169" s="75"/>
      <c r="AY169" s="61"/>
      <c r="AZ169" s="75"/>
      <c r="BA169" s="61"/>
      <c r="BB169" s="75"/>
      <c r="BC169" s="61"/>
      <c r="BD169" s="75"/>
      <c r="BE169" s="61"/>
      <c r="BF169" s="75"/>
      <c r="BG169" s="61"/>
      <c r="BH169" s="75"/>
      <c r="BJ169" s="75"/>
      <c r="BK169" s="80"/>
      <c r="BM169" s="51"/>
      <c r="BN169" s="51"/>
    </row>
    <row r="170" spans="8:66" x14ac:dyDescent="0.3">
      <c r="H170" s="79"/>
      <c r="I170" s="37"/>
      <c r="J170" s="75"/>
      <c r="K170" s="37"/>
      <c r="L170" s="75"/>
      <c r="M170" s="37"/>
      <c r="N170" s="75"/>
      <c r="O170" s="37"/>
      <c r="P170" s="75"/>
      <c r="Q170" s="37"/>
      <c r="R170" s="75"/>
      <c r="S170" s="37"/>
      <c r="T170" s="75"/>
      <c r="U170" s="61"/>
      <c r="V170" s="75"/>
      <c r="W170" s="37"/>
      <c r="X170" s="75"/>
      <c r="Y170" s="61"/>
      <c r="Z170" s="75"/>
      <c r="AA170" s="61"/>
      <c r="AB170" s="75"/>
      <c r="AC170" s="61"/>
      <c r="AD170" s="75"/>
      <c r="AE170" s="61"/>
      <c r="AF170" s="75"/>
      <c r="AG170" s="61"/>
      <c r="AH170" s="75"/>
      <c r="AJ170" s="75"/>
      <c r="AL170" s="75"/>
      <c r="AN170" s="75"/>
      <c r="AP170" s="75"/>
      <c r="AR170" s="75"/>
      <c r="AS170" s="61"/>
      <c r="AT170" s="75"/>
      <c r="AU170" s="61"/>
      <c r="AV170" s="75"/>
      <c r="AW170" s="61"/>
      <c r="AX170" s="75"/>
      <c r="AY170" s="61"/>
      <c r="AZ170" s="75"/>
      <c r="BA170" s="61"/>
      <c r="BB170" s="75"/>
      <c r="BC170" s="61"/>
      <c r="BD170" s="75"/>
      <c r="BE170" s="61"/>
      <c r="BF170" s="75"/>
      <c r="BG170" s="61"/>
      <c r="BH170" s="75"/>
      <c r="BJ170" s="75"/>
      <c r="BK170" s="80"/>
      <c r="BM170" s="51"/>
      <c r="BN170" s="51"/>
    </row>
    <row r="171" spans="8:66" x14ac:dyDescent="0.3">
      <c r="H171" s="79"/>
      <c r="I171" s="37"/>
      <c r="J171" s="75"/>
      <c r="K171" s="37"/>
      <c r="L171" s="75"/>
      <c r="M171" s="37"/>
      <c r="N171" s="75"/>
      <c r="O171" s="37"/>
      <c r="P171" s="75"/>
      <c r="Q171" s="37"/>
      <c r="R171" s="75"/>
      <c r="S171" s="37"/>
      <c r="T171" s="75"/>
      <c r="U171" s="61"/>
      <c r="V171" s="75"/>
      <c r="W171" s="37"/>
      <c r="X171" s="75"/>
      <c r="Y171" s="61"/>
      <c r="Z171" s="75"/>
      <c r="AA171" s="61"/>
      <c r="AB171" s="75"/>
      <c r="AC171" s="61"/>
      <c r="AD171" s="75"/>
      <c r="AE171" s="61"/>
      <c r="AF171" s="75"/>
      <c r="AG171" s="61"/>
      <c r="AH171" s="75"/>
      <c r="AJ171" s="75"/>
      <c r="AL171" s="75"/>
      <c r="AN171" s="75"/>
      <c r="AP171" s="75"/>
      <c r="AR171" s="75"/>
      <c r="AS171" s="61"/>
      <c r="AT171" s="75"/>
      <c r="AU171" s="61"/>
      <c r="AV171" s="75"/>
      <c r="AW171" s="61"/>
      <c r="AX171" s="75"/>
      <c r="AY171" s="61"/>
      <c r="AZ171" s="75"/>
      <c r="BA171" s="61"/>
      <c r="BB171" s="75"/>
      <c r="BC171" s="61"/>
      <c r="BD171" s="75"/>
      <c r="BE171" s="61"/>
      <c r="BF171" s="75"/>
      <c r="BG171" s="61"/>
      <c r="BH171" s="75"/>
      <c r="BJ171" s="75"/>
      <c r="BK171" s="80"/>
      <c r="BM171" s="51"/>
      <c r="BN171" s="51"/>
    </row>
    <row r="172" spans="8:66" x14ac:dyDescent="0.3">
      <c r="H172" s="79"/>
      <c r="I172" s="37"/>
      <c r="J172" s="75"/>
      <c r="K172" s="37"/>
      <c r="L172" s="75"/>
      <c r="M172" s="37"/>
      <c r="N172" s="75"/>
      <c r="O172" s="37"/>
      <c r="P172" s="75"/>
      <c r="Q172" s="37"/>
      <c r="R172" s="75"/>
      <c r="S172" s="37"/>
      <c r="T172" s="75"/>
      <c r="U172" s="61"/>
      <c r="V172" s="75"/>
      <c r="W172" s="37"/>
      <c r="X172" s="75"/>
      <c r="Y172" s="61"/>
      <c r="Z172" s="75"/>
      <c r="AA172" s="61"/>
      <c r="AB172" s="75"/>
      <c r="AC172" s="61"/>
      <c r="AD172" s="75"/>
      <c r="AE172" s="61"/>
      <c r="AF172" s="75"/>
      <c r="AG172" s="61"/>
      <c r="AH172" s="75"/>
      <c r="AJ172" s="75"/>
      <c r="AL172" s="75"/>
      <c r="AN172" s="75"/>
      <c r="AP172" s="75"/>
      <c r="AR172" s="75"/>
      <c r="AS172" s="61"/>
      <c r="AT172" s="75"/>
      <c r="AU172" s="61"/>
      <c r="AV172" s="75"/>
      <c r="AW172" s="61"/>
      <c r="AX172" s="75"/>
      <c r="AY172" s="61"/>
      <c r="AZ172" s="75"/>
      <c r="BA172" s="61"/>
      <c r="BB172" s="75"/>
      <c r="BC172" s="61"/>
      <c r="BD172" s="75"/>
      <c r="BE172" s="61"/>
      <c r="BF172" s="75"/>
      <c r="BG172" s="61"/>
      <c r="BH172" s="75"/>
      <c r="BJ172" s="75"/>
      <c r="BK172" s="80"/>
      <c r="BM172" s="51"/>
      <c r="BN172" s="51"/>
    </row>
    <row r="173" spans="8:66" x14ac:dyDescent="0.3">
      <c r="H173" s="79"/>
      <c r="I173" s="37"/>
      <c r="J173" s="75"/>
      <c r="K173" s="37"/>
      <c r="L173" s="75"/>
      <c r="M173" s="37"/>
      <c r="N173" s="75"/>
      <c r="O173" s="37"/>
      <c r="P173" s="75"/>
      <c r="Q173" s="37"/>
      <c r="R173" s="75"/>
      <c r="S173" s="37"/>
      <c r="T173" s="75"/>
      <c r="U173" s="61"/>
      <c r="V173" s="75"/>
      <c r="W173" s="37"/>
      <c r="X173" s="75"/>
      <c r="Y173" s="61"/>
      <c r="Z173" s="75"/>
      <c r="AA173" s="61"/>
      <c r="AB173" s="75"/>
      <c r="AC173" s="61"/>
      <c r="AD173" s="75"/>
      <c r="AE173" s="61"/>
      <c r="AF173" s="75"/>
      <c r="AG173" s="61"/>
      <c r="AH173" s="75"/>
      <c r="AJ173" s="75"/>
      <c r="AL173" s="75"/>
      <c r="AN173" s="75"/>
      <c r="AP173" s="75"/>
      <c r="AR173" s="75"/>
      <c r="AS173" s="61"/>
      <c r="AT173" s="75"/>
      <c r="AU173" s="61"/>
      <c r="AV173" s="75"/>
      <c r="AW173" s="61"/>
      <c r="AX173" s="75"/>
      <c r="AY173" s="61"/>
      <c r="AZ173" s="75"/>
      <c r="BA173" s="61"/>
      <c r="BB173" s="75"/>
      <c r="BC173" s="61"/>
      <c r="BD173" s="75"/>
      <c r="BE173" s="61"/>
      <c r="BF173" s="75"/>
      <c r="BG173" s="61"/>
      <c r="BH173" s="75"/>
      <c r="BJ173" s="75"/>
      <c r="BK173" s="80"/>
      <c r="BM173" s="51"/>
      <c r="BN173" s="51"/>
    </row>
    <row r="174" spans="8:66" x14ac:dyDescent="0.3">
      <c r="H174" s="79"/>
      <c r="I174" s="37"/>
      <c r="J174" s="75"/>
      <c r="K174" s="37"/>
      <c r="L174" s="75"/>
      <c r="M174" s="37"/>
      <c r="N174" s="75"/>
      <c r="O174" s="37"/>
      <c r="P174" s="75"/>
      <c r="Q174" s="37"/>
      <c r="R174" s="75"/>
      <c r="S174" s="37"/>
      <c r="T174" s="75"/>
      <c r="U174" s="61"/>
      <c r="V174" s="75"/>
      <c r="W174" s="37"/>
      <c r="X174" s="75"/>
      <c r="Y174" s="61"/>
      <c r="Z174" s="75"/>
      <c r="AA174" s="61"/>
      <c r="AB174" s="75"/>
      <c r="AC174" s="61"/>
      <c r="AD174" s="75"/>
      <c r="AE174" s="61"/>
      <c r="AF174" s="75"/>
      <c r="AG174" s="61"/>
      <c r="AH174" s="75"/>
      <c r="AJ174" s="75"/>
      <c r="AL174" s="75"/>
      <c r="AN174" s="75"/>
      <c r="AP174" s="75"/>
      <c r="AR174" s="75"/>
      <c r="AS174" s="61"/>
      <c r="AT174" s="75"/>
      <c r="AU174" s="61"/>
      <c r="AV174" s="75"/>
      <c r="AW174" s="61"/>
      <c r="AX174" s="75"/>
      <c r="AY174" s="61"/>
      <c r="AZ174" s="75"/>
      <c r="BA174" s="61"/>
      <c r="BB174" s="75"/>
      <c r="BC174" s="61"/>
      <c r="BD174" s="75"/>
      <c r="BE174" s="61"/>
      <c r="BF174" s="75"/>
      <c r="BG174" s="61"/>
      <c r="BH174" s="75"/>
      <c r="BJ174" s="75"/>
      <c r="BK174" s="80"/>
      <c r="BM174" s="51"/>
      <c r="BN174" s="51"/>
    </row>
    <row r="175" spans="8:66" x14ac:dyDescent="0.3">
      <c r="H175" s="79"/>
      <c r="I175" s="37"/>
      <c r="J175" s="75"/>
      <c r="K175" s="37"/>
      <c r="L175" s="75"/>
      <c r="M175" s="37"/>
      <c r="N175" s="75"/>
      <c r="O175" s="37"/>
      <c r="P175" s="75"/>
      <c r="Q175" s="37"/>
      <c r="R175" s="75"/>
      <c r="S175" s="37"/>
      <c r="T175" s="75"/>
      <c r="U175" s="61"/>
      <c r="V175" s="75"/>
      <c r="W175" s="37"/>
      <c r="X175" s="75"/>
      <c r="Y175" s="61"/>
      <c r="Z175" s="75"/>
      <c r="AA175" s="61"/>
      <c r="AB175" s="75"/>
      <c r="AC175" s="61"/>
      <c r="AD175" s="75"/>
      <c r="AE175" s="61"/>
      <c r="AF175" s="75"/>
      <c r="AG175" s="61"/>
      <c r="AH175" s="75"/>
      <c r="AJ175" s="75"/>
      <c r="AL175" s="75"/>
      <c r="AN175" s="75"/>
      <c r="AP175" s="75"/>
      <c r="AR175" s="75"/>
      <c r="AS175" s="61"/>
      <c r="AT175" s="75"/>
      <c r="AU175" s="61"/>
      <c r="AV175" s="75"/>
      <c r="AW175" s="61"/>
      <c r="AX175" s="75"/>
      <c r="AY175" s="61"/>
      <c r="AZ175" s="75"/>
      <c r="BA175" s="61"/>
      <c r="BB175" s="75"/>
      <c r="BC175" s="61"/>
      <c r="BD175" s="75"/>
      <c r="BE175" s="61"/>
      <c r="BF175" s="75"/>
      <c r="BG175" s="61"/>
      <c r="BH175" s="75"/>
      <c r="BJ175" s="75"/>
      <c r="BK175" s="80"/>
      <c r="BM175" s="51"/>
      <c r="BN175" s="51"/>
    </row>
    <row r="176" spans="8:66" x14ac:dyDescent="0.3">
      <c r="H176" s="79"/>
      <c r="I176" s="37"/>
      <c r="J176" s="75"/>
      <c r="K176" s="37"/>
      <c r="L176" s="75"/>
      <c r="M176" s="37"/>
      <c r="N176" s="75"/>
      <c r="O176" s="37"/>
      <c r="P176" s="75"/>
      <c r="Q176" s="37"/>
      <c r="R176" s="75"/>
      <c r="S176" s="37"/>
      <c r="T176" s="75"/>
      <c r="U176" s="61"/>
      <c r="V176" s="75"/>
      <c r="W176" s="37"/>
      <c r="X176" s="75"/>
      <c r="Y176" s="61"/>
      <c r="Z176" s="75"/>
      <c r="AA176" s="61"/>
      <c r="AB176" s="75"/>
      <c r="AC176" s="61"/>
      <c r="AD176" s="75"/>
      <c r="AE176" s="61"/>
      <c r="AF176" s="75"/>
      <c r="AG176" s="61"/>
      <c r="AH176" s="75"/>
      <c r="AJ176" s="75"/>
      <c r="AL176" s="75"/>
      <c r="AN176" s="75"/>
      <c r="AP176" s="75"/>
      <c r="AR176" s="75"/>
      <c r="AS176" s="61"/>
      <c r="AT176" s="75"/>
      <c r="AU176" s="61"/>
      <c r="AV176" s="75"/>
      <c r="AW176" s="61"/>
      <c r="AX176" s="75"/>
      <c r="AY176" s="61"/>
      <c r="AZ176" s="75"/>
      <c r="BA176" s="61"/>
      <c r="BB176" s="75"/>
      <c r="BC176" s="61"/>
      <c r="BD176" s="75"/>
      <c r="BE176" s="61"/>
      <c r="BF176" s="75"/>
      <c r="BG176" s="61"/>
      <c r="BH176" s="75"/>
      <c r="BJ176" s="75"/>
      <c r="BK176" s="80"/>
      <c r="BM176" s="51"/>
      <c r="BN176" s="51"/>
    </row>
    <row r="177" spans="8:66" x14ac:dyDescent="0.3">
      <c r="H177" s="79"/>
      <c r="I177" s="37"/>
      <c r="J177" s="75"/>
      <c r="K177" s="37"/>
      <c r="L177" s="75"/>
      <c r="M177" s="37"/>
      <c r="N177" s="75"/>
      <c r="O177" s="37"/>
      <c r="P177" s="75"/>
      <c r="Q177" s="37"/>
      <c r="R177" s="75"/>
      <c r="S177" s="37"/>
      <c r="T177" s="75"/>
      <c r="U177" s="61"/>
      <c r="V177" s="75"/>
      <c r="W177" s="37"/>
      <c r="X177" s="75"/>
      <c r="Y177" s="61"/>
      <c r="Z177" s="75"/>
      <c r="AA177" s="61"/>
      <c r="AB177" s="75"/>
      <c r="AC177" s="61"/>
      <c r="AD177" s="75"/>
      <c r="AE177" s="61"/>
      <c r="AF177" s="75"/>
      <c r="AG177" s="61"/>
      <c r="AH177" s="75"/>
      <c r="AJ177" s="75"/>
      <c r="AL177" s="75"/>
      <c r="AN177" s="75"/>
      <c r="AP177" s="75"/>
      <c r="AR177" s="75"/>
      <c r="AS177" s="61"/>
      <c r="AT177" s="75"/>
      <c r="AU177" s="61"/>
      <c r="AV177" s="75"/>
      <c r="AW177" s="61"/>
      <c r="AX177" s="75"/>
      <c r="AY177" s="61"/>
      <c r="AZ177" s="75"/>
      <c r="BA177" s="61"/>
      <c r="BB177" s="75"/>
      <c r="BC177" s="61"/>
      <c r="BD177" s="75"/>
      <c r="BE177" s="61"/>
      <c r="BF177" s="75"/>
      <c r="BG177" s="61"/>
      <c r="BH177" s="75"/>
      <c r="BJ177" s="75"/>
      <c r="BK177" s="80"/>
      <c r="BM177" s="51"/>
      <c r="BN177" s="51"/>
    </row>
    <row r="178" spans="8:66" x14ac:dyDescent="0.3">
      <c r="H178" s="79"/>
      <c r="I178" s="37"/>
      <c r="J178" s="75"/>
      <c r="K178" s="37"/>
      <c r="L178" s="75"/>
      <c r="M178" s="37"/>
      <c r="N178" s="75"/>
      <c r="O178" s="37"/>
      <c r="P178" s="75"/>
      <c r="Q178" s="37"/>
      <c r="R178" s="75"/>
      <c r="S178" s="37"/>
      <c r="T178" s="75"/>
      <c r="U178" s="61"/>
      <c r="V178" s="75"/>
      <c r="W178" s="37"/>
      <c r="X178" s="75"/>
      <c r="Y178" s="61"/>
      <c r="Z178" s="75"/>
      <c r="AA178" s="61"/>
      <c r="AB178" s="75"/>
      <c r="AC178" s="61"/>
      <c r="AD178" s="75"/>
      <c r="AE178" s="61"/>
      <c r="AF178" s="75"/>
      <c r="AG178" s="61"/>
      <c r="AH178" s="75"/>
      <c r="AJ178" s="75"/>
      <c r="AL178" s="75"/>
      <c r="AN178" s="75"/>
      <c r="AP178" s="75"/>
      <c r="AR178" s="75"/>
      <c r="AS178" s="61"/>
      <c r="AT178" s="75"/>
      <c r="AU178" s="61"/>
      <c r="AV178" s="75"/>
      <c r="AW178" s="61"/>
      <c r="AX178" s="75"/>
      <c r="AY178" s="61"/>
      <c r="AZ178" s="75"/>
      <c r="BA178" s="61"/>
      <c r="BB178" s="75"/>
      <c r="BC178" s="61"/>
      <c r="BD178" s="75"/>
      <c r="BE178" s="61"/>
      <c r="BF178" s="75"/>
      <c r="BG178" s="61"/>
      <c r="BH178" s="75"/>
      <c r="BJ178" s="75"/>
      <c r="BK178" s="80"/>
      <c r="BM178" s="51"/>
      <c r="BN178" s="51"/>
    </row>
  </sheetData>
  <conditionalFormatting sqref="CA2:CA101 CA103:CA106 CA111:CA117">
    <cfRule type="cellIs" dxfId="20" priority="12" operator="lessThan">
      <formula>0</formula>
    </cfRule>
  </conditionalFormatting>
  <conditionalFormatting sqref="BX2:BX101 BX103:BX106 BX111:BX117">
    <cfRule type="cellIs" dxfId="19" priority="10" operator="between">
      <formula>15</formula>
      <formula>31</formula>
    </cfRule>
    <cfRule type="cellIs" dxfId="18" priority="11" operator="between">
      <formula>30</formula>
      <formula>100</formula>
    </cfRule>
  </conditionalFormatting>
  <conditionalFormatting sqref="CA102">
    <cfRule type="cellIs" dxfId="17" priority="9" operator="lessThan">
      <formula>0</formula>
    </cfRule>
  </conditionalFormatting>
  <conditionalFormatting sqref="BX102">
    <cfRule type="cellIs" dxfId="16" priority="7" operator="between">
      <formula>15</formula>
      <formula>31</formula>
    </cfRule>
    <cfRule type="cellIs" dxfId="15" priority="8" operator="between">
      <formula>30</formula>
      <formula>100</formula>
    </cfRule>
  </conditionalFormatting>
  <conditionalFormatting sqref="CA107:CA110">
    <cfRule type="cellIs" dxfId="14" priority="6" operator="lessThan">
      <formula>0</formula>
    </cfRule>
  </conditionalFormatting>
  <conditionalFormatting sqref="BX107:BX110">
    <cfRule type="cellIs" dxfId="13" priority="4" operator="between">
      <formula>15</formula>
      <formula>31</formula>
    </cfRule>
    <cfRule type="cellIs" dxfId="12" priority="5" operator="between">
      <formula>30</formula>
      <formula>100</formula>
    </cfRule>
  </conditionalFormatting>
  <conditionalFormatting sqref="CA118:CA125">
    <cfRule type="cellIs" dxfId="11" priority="3" operator="lessThan">
      <formula>0</formula>
    </cfRule>
  </conditionalFormatting>
  <conditionalFormatting sqref="BX118:BX125">
    <cfRule type="cellIs" dxfId="10" priority="1" operator="between">
      <formula>15</formula>
      <formula>31</formula>
    </cfRule>
    <cfRule type="cellIs" dxfId="9" priority="2" operator="between">
      <formula>30</formula>
      <formula>100</formula>
    </cfRule>
  </conditionalFormatting>
  <printOptions gridLines="1"/>
  <pageMargins left="0.16" right="0.16" top="0.16" bottom="0.15" header="0" footer="0.25"/>
  <pageSetup scale="83" fitToHeight="2" orientation="landscape"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91"/>
  <sheetViews>
    <sheetView workbookViewId="0"/>
  </sheetViews>
  <sheetFormatPr defaultRowHeight="14.5" x14ac:dyDescent="0.35"/>
  <cols>
    <col min="1" max="1" width="15.08984375" style="150" customWidth="1"/>
    <col min="2" max="2" width="5.1796875" style="150" customWidth="1"/>
    <col min="3" max="3" width="5.08984375" style="155" bestFit="1" customWidth="1"/>
    <col min="4" max="4" width="5.81640625" style="155" bestFit="1" customWidth="1"/>
    <col min="5" max="5" width="5.08984375" style="361" bestFit="1" customWidth="1"/>
    <col min="6" max="6" width="5.08984375" style="384" bestFit="1" customWidth="1"/>
    <col min="7" max="7" width="5.08984375" style="155" bestFit="1" customWidth="1"/>
    <col min="8" max="8" width="6.1796875" style="365" bestFit="1" customWidth="1"/>
    <col min="9" max="9" width="7.26953125" style="361" bestFit="1" customWidth="1"/>
    <col min="10" max="10" width="5.08984375" style="155" bestFit="1" customWidth="1"/>
    <col min="11" max="11" width="8.7265625" style="150"/>
    <col min="12" max="12" width="16.81640625" style="150" bestFit="1" customWidth="1"/>
    <col min="13" max="16384" width="8.7265625" style="150"/>
  </cols>
  <sheetData>
    <row r="1" spans="1:12" ht="100" customHeight="1" x14ac:dyDescent="0.35">
      <c r="A1" s="372"/>
      <c r="B1" s="373" t="s">
        <v>0</v>
      </c>
      <c r="C1" s="374" t="s">
        <v>662</v>
      </c>
      <c r="D1" s="374" t="s">
        <v>663</v>
      </c>
      <c r="E1" s="375" t="s">
        <v>664</v>
      </c>
      <c r="F1" s="375" t="s">
        <v>665</v>
      </c>
      <c r="G1" s="374" t="s">
        <v>656</v>
      </c>
      <c r="H1" s="376" t="s">
        <v>666</v>
      </c>
      <c r="I1" s="375" t="s">
        <v>667</v>
      </c>
      <c r="J1" s="377" t="s">
        <v>668</v>
      </c>
    </row>
    <row r="2" spans="1:12" ht="15" thickBot="1" x14ac:dyDescent="0.4">
      <c r="A2" s="378"/>
      <c r="B2" s="379" t="s">
        <v>657</v>
      </c>
      <c r="C2" s="380" t="s">
        <v>658</v>
      </c>
      <c r="D2" s="380" t="s">
        <v>659</v>
      </c>
      <c r="E2" s="381" t="s">
        <v>660</v>
      </c>
      <c r="F2" s="381" t="s">
        <v>660</v>
      </c>
      <c r="G2" s="380" t="s">
        <v>657</v>
      </c>
      <c r="H2" s="382" t="s">
        <v>659</v>
      </c>
      <c r="I2" s="381" t="s">
        <v>659</v>
      </c>
      <c r="J2" s="383" t="s">
        <v>661</v>
      </c>
    </row>
    <row r="3" spans="1:12" ht="24" x14ac:dyDescent="0.35">
      <c r="A3" s="366" t="str">
        <f>SUMMARY!B4</f>
        <v>Pawcatuck River, CT &amp; RI</v>
      </c>
      <c r="B3" s="367">
        <f>SUMMARY!C4</f>
        <v>1</v>
      </c>
      <c r="C3" s="368">
        <f>SUMMARY!BO4</f>
        <v>263.84620000000001</v>
      </c>
      <c r="D3" s="368">
        <f>SUMMARY!BP4</f>
        <v>15.056267130193271</v>
      </c>
      <c r="E3" s="488">
        <f>SUMMARY!K4</f>
        <v>1.77727272727273</v>
      </c>
      <c r="F3" s="369">
        <f>SUMMARY!BQ4</f>
        <v>5.35</v>
      </c>
      <c r="G3" s="368">
        <f>SUMMARY!BR4</f>
        <v>2</v>
      </c>
      <c r="H3" s="370">
        <f>SUMMARY!BS4</f>
        <v>0.23830978434408229</v>
      </c>
      <c r="I3" s="369">
        <f>SUMMARY!BT4</f>
        <v>1.441226014016058</v>
      </c>
      <c r="J3" s="371">
        <f>SUMMARY!BU4</f>
        <v>25.295693204676734</v>
      </c>
      <c r="L3" s="151"/>
    </row>
    <row r="4" spans="1:12" ht="24" x14ac:dyDescent="0.35">
      <c r="A4" s="165" t="str">
        <f>SUMMARY!B5</f>
        <v>Little Narragansett Bay</v>
      </c>
      <c r="B4" s="156">
        <f>SUMMARY!C5</f>
        <v>2</v>
      </c>
      <c r="C4" s="157">
        <f>SUMMARY!BO5</f>
        <v>330.81110000000001</v>
      </c>
      <c r="D4" s="157">
        <f>SUMMARY!BP5</f>
        <v>3.2745346327254441</v>
      </c>
      <c r="E4" s="158">
        <f>SUMMARY!K5</f>
        <v>1.77689075630252</v>
      </c>
      <c r="F4" s="358">
        <f>SUMMARY!BQ5</f>
        <v>3.74</v>
      </c>
      <c r="G4" s="157">
        <f>SUMMARY!BR5</f>
        <v>3</v>
      </c>
      <c r="H4" s="362">
        <f>SUMMARY!BS5</f>
        <v>6.9559179084265621E-2</v>
      </c>
      <c r="I4" s="358">
        <f>SUMMARY!BT5</f>
        <v>1.7697418869801897</v>
      </c>
      <c r="J4" s="355">
        <f>SUMMARY!BU5</f>
        <v>19.863457170345178</v>
      </c>
      <c r="L4" s="151"/>
    </row>
    <row r="5" spans="1:12" x14ac:dyDescent="0.35">
      <c r="A5" s="165" t="str">
        <f>SUMMARY!B6</f>
        <v>Wequetequock Cove</v>
      </c>
      <c r="B5" s="156">
        <f>SUMMARY!C6</f>
        <v>3</v>
      </c>
      <c r="C5" s="157">
        <f>SUMMARY!BO6</f>
        <v>81.877399999999994</v>
      </c>
      <c r="D5" s="157">
        <f>SUMMARY!BP6</f>
        <v>9.9928110018588754</v>
      </c>
      <c r="E5" s="158">
        <f>SUMMARY!K6</f>
        <v>1.31451612903226</v>
      </c>
      <c r="F5" s="358">
        <f>SUMMARY!BQ6</f>
        <v>2.5499999999999998</v>
      </c>
      <c r="G5" s="157">
        <f>SUMMARY!BR6</f>
        <v>2</v>
      </c>
      <c r="H5" s="362">
        <f>SUMMARY!BS6</f>
        <v>3.9406304292484373E-2</v>
      </c>
      <c r="I5" s="358">
        <f>SUMMARY!BT6</f>
        <v>2.1042885161476996</v>
      </c>
      <c r="J5" s="355">
        <f>SUMMARY!BU6</f>
        <v>0</v>
      </c>
      <c r="L5" s="151"/>
    </row>
    <row r="6" spans="1:12" ht="36.5" thickBot="1" x14ac:dyDescent="0.4">
      <c r="A6" s="167" t="str">
        <f>SUMMARY!B7</f>
        <v>Little Narragansett B. + Wequetequock C. + Pawcatuck R. (30%)</v>
      </c>
      <c r="B6" s="168" t="str">
        <f>SUMMARY!C7</f>
        <v>1-2-3</v>
      </c>
      <c r="C6" s="169">
        <f>SUMMARY!BO7</f>
        <v>676.53470000000004</v>
      </c>
      <c r="D6" s="169">
        <f>SUMMARY!BP7</f>
        <v>22.927740718742733</v>
      </c>
      <c r="E6" s="170">
        <f>SUMMARY!K7</f>
        <v>1.7210809793348969</v>
      </c>
      <c r="F6" s="359">
        <f>SUMMARY!BQ7</f>
        <v>5.35</v>
      </c>
      <c r="G6" s="169">
        <f>SUMMARY!BR7</f>
        <v>4</v>
      </c>
      <c r="H6" s="363">
        <f>SUMMARY!BS7</f>
        <v>3.3936614412505846E-2</v>
      </c>
      <c r="I6" s="359">
        <f>SUMMARY!BT7</f>
        <v>1.8307153972926142</v>
      </c>
      <c r="J6" s="356">
        <f>SUMMARY!BU7</f>
        <v>19.863457170345178</v>
      </c>
      <c r="L6" s="151"/>
    </row>
    <row r="7" spans="1:12" x14ac:dyDescent="0.35">
      <c r="A7" s="160" t="str">
        <f>SUMMARY!B8</f>
        <v>Quanaduck Cove</v>
      </c>
      <c r="B7" s="161">
        <f>SUMMARY!C8</f>
        <v>4</v>
      </c>
      <c r="C7" s="162">
        <f>SUMMARY!BO8</f>
        <v>18.796800000000001</v>
      </c>
      <c r="D7" s="162">
        <f>SUMMARY!BP8</f>
        <v>6.315469271024857</v>
      </c>
      <c r="E7" s="163">
        <f>SUMMARY!K8</f>
        <v>0.50000532005447695</v>
      </c>
      <c r="F7" s="352">
        <f>SUMMARY!BQ8</f>
        <v>1.2438000023370002</v>
      </c>
      <c r="G7" s="162">
        <f>SUMMARY!BR8</f>
        <v>3</v>
      </c>
      <c r="H7" s="353">
        <f>SUMMARY!BS8</f>
        <v>1.1019455342967017E-2</v>
      </c>
      <c r="I7" s="352">
        <f>SUMMARY!BT8</f>
        <v>2.529786667813485</v>
      </c>
      <c r="J7" s="354">
        <f>SUMMARY!BU8</f>
        <v>0</v>
      </c>
      <c r="L7" s="151"/>
    </row>
    <row r="8" spans="1:12" x14ac:dyDescent="0.35">
      <c r="A8" s="165" t="str">
        <f>SUMMARY!B9</f>
        <v>Stonington Harbor</v>
      </c>
      <c r="B8" s="156">
        <f>SUMMARY!C9</f>
        <v>5</v>
      </c>
      <c r="C8" s="157">
        <f>SUMMARY!BO9</f>
        <v>179.76310000000001</v>
      </c>
      <c r="D8" s="157">
        <f>SUMMARY!BP9</f>
        <v>4.6196977466593534</v>
      </c>
      <c r="E8" s="158">
        <f>SUMMARY!K9</f>
        <v>2.58958333333333</v>
      </c>
      <c r="F8" s="358">
        <f>SUMMARY!BQ9</f>
        <v>5.64</v>
      </c>
      <c r="G8" s="157">
        <f>SUMMARY!BR9</f>
        <v>1</v>
      </c>
      <c r="H8" s="362">
        <f>SUMMARY!BS9</f>
        <v>4.5986523994733051E-3</v>
      </c>
      <c r="I8" s="358">
        <f>SUMMARY!BT9</f>
        <v>3.3818755572069747</v>
      </c>
      <c r="J8" s="355">
        <f>SUMMARY!BU9</f>
        <v>21.266553771075618</v>
      </c>
      <c r="L8" s="151"/>
    </row>
    <row r="9" spans="1:12" ht="24.5" thickBot="1" x14ac:dyDescent="0.4">
      <c r="A9" s="167" t="str">
        <f>SUMMARY!B10</f>
        <v>Quanaduck C. + Stonington H.</v>
      </c>
      <c r="B9" s="168" t="str">
        <f>SUMMARY!C10</f>
        <v xml:space="preserve"> 4-5</v>
      </c>
      <c r="C9" s="169">
        <f>SUMMARY!BO10</f>
        <v>198.5599</v>
      </c>
      <c r="D9" s="169">
        <f>SUMMARY!BP10</f>
        <v>7.9428000051374923</v>
      </c>
      <c r="E9" s="170">
        <f>SUMMARY!K10</f>
        <v>2.3917720935009172</v>
      </c>
      <c r="F9" s="359">
        <f>SUMMARY!BQ10</f>
        <v>5.64</v>
      </c>
      <c r="G9" s="169">
        <f>SUMMARY!BR10</f>
        <v>4</v>
      </c>
      <c r="H9" s="363">
        <f>SUMMARY!BS10</f>
        <v>4.1633180272137513E-3</v>
      </c>
      <c r="I9" s="359">
        <f>SUMMARY!BT10</f>
        <v>4.0226871252063736</v>
      </c>
      <c r="J9" s="356">
        <f>SUMMARY!BU10</f>
        <v>17.886555913129218</v>
      </c>
      <c r="L9" s="151"/>
    </row>
    <row r="10" spans="1:12" ht="15" thickBot="1" x14ac:dyDescent="0.4">
      <c r="A10" s="174" t="str">
        <f>SUMMARY!B11</f>
        <v>Quiambog Cove</v>
      </c>
      <c r="B10" s="175">
        <f>SUMMARY!C11</f>
        <v>6</v>
      </c>
      <c r="C10" s="176">
        <f>SUMMARY!BO11</f>
        <v>29.3721</v>
      </c>
      <c r="D10" s="176">
        <f>SUMMARY!BP11</f>
        <v>14.096782048028572</v>
      </c>
      <c r="E10" s="177">
        <f>SUMMARY!K11</f>
        <v>1.28125</v>
      </c>
      <c r="F10" s="360">
        <f>SUMMARY!BQ11</f>
        <v>2.84</v>
      </c>
      <c r="G10" s="176">
        <f>SUMMARY!BR11</f>
        <v>2</v>
      </c>
      <c r="H10" s="364">
        <f>SUMMARY!BS11</f>
        <v>6.5391140339017009E-2</v>
      </c>
      <c r="I10" s="360">
        <f>SUMMARY!BT11</f>
        <v>1.4194076636533126</v>
      </c>
      <c r="J10" s="357">
        <f>SUMMARY!BU11</f>
        <v>0</v>
      </c>
      <c r="L10" s="151"/>
    </row>
    <row r="11" spans="1:12" ht="15" thickBot="1" x14ac:dyDescent="0.4">
      <c r="A11" s="174" t="str">
        <f>SUMMARY!B12</f>
        <v>Wilcox Cove</v>
      </c>
      <c r="B11" s="175">
        <f>SUMMARY!C12</f>
        <v>7</v>
      </c>
      <c r="C11" s="176">
        <f>SUMMARY!BO12</f>
        <v>3.9058999999999999</v>
      </c>
      <c r="D11" s="176">
        <f>SUMMARY!BP12</f>
        <v>3.6564473594961471</v>
      </c>
      <c r="E11" s="177">
        <f>SUMMARY!K12</f>
        <v>0.9</v>
      </c>
      <c r="F11" s="360">
        <f>SUMMARY!BQ12</f>
        <v>1.04</v>
      </c>
      <c r="G11" s="176">
        <f>SUMMARY!BR12</f>
        <v>0</v>
      </c>
      <c r="H11" s="364">
        <f>SUMMARY!BS12</f>
        <v>5.2517172781267512E-3</v>
      </c>
      <c r="I11" s="360">
        <f>SUMMARY!BT12</f>
        <v>2.1272299661610625</v>
      </c>
      <c r="J11" s="357">
        <f>SUMMARY!BU12</f>
        <v>0</v>
      </c>
      <c r="L11" s="151"/>
    </row>
    <row r="12" spans="1:12" ht="15" thickBot="1" x14ac:dyDescent="0.4">
      <c r="A12" s="174" t="str">
        <f>SUMMARY!B13</f>
        <v>Williams Cove</v>
      </c>
      <c r="B12" s="175">
        <f>SUMMARY!C13</f>
        <v>8</v>
      </c>
      <c r="C12" s="176">
        <f>SUMMARY!BO13</f>
        <v>5.7454000000000001</v>
      </c>
      <c r="D12" s="176">
        <f>SUMMARY!BP13</f>
        <v>24.864586834406659</v>
      </c>
      <c r="E12" s="177">
        <f>SUMMARY!K13</f>
        <v>0.75</v>
      </c>
      <c r="F12" s="360">
        <f>SUMMARY!BQ13</f>
        <v>1.35</v>
      </c>
      <c r="G12" s="176">
        <f>SUMMARY!BR13</f>
        <v>3</v>
      </c>
      <c r="H12" s="364">
        <f>SUMMARY!BS13</f>
        <v>0.10758025200055754</v>
      </c>
      <c r="I12" s="360">
        <f>SUMMARY!BT13</f>
        <v>3.8032229219704687</v>
      </c>
      <c r="J12" s="357">
        <f>SUMMARY!BU13</f>
        <v>0</v>
      </c>
      <c r="L12" s="151"/>
    </row>
    <row r="13" spans="1:12" x14ac:dyDescent="0.35">
      <c r="A13" s="160" t="str">
        <f>SUMMARY!B14</f>
        <v>Mystic River</v>
      </c>
      <c r="B13" s="161">
        <f>SUMMARY!C14</f>
        <v>9</v>
      </c>
      <c r="C13" s="162">
        <f>SUMMARY!BO14</f>
        <v>117.17</v>
      </c>
      <c r="D13" s="162">
        <f>SUMMARY!BP14</f>
        <v>22.474629874882648</v>
      </c>
      <c r="E13" s="163">
        <f>SUMMARY!K14</f>
        <v>1.2749999999999999</v>
      </c>
      <c r="F13" s="352">
        <f>SUMMARY!BQ14</f>
        <v>3.15</v>
      </c>
      <c r="G13" s="162">
        <f>SUMMARY!BR14</f>
        <v>3</v>
      </c>
      <c r="H13" s="353">
        <f>SUMMARY!BS14</f>
        <v>5.5325550689683742E-2</v>
      </c>
      <c r="I13" s="352">
        <f>SUMMARY!BT14</f>
        <v>2.3536303335136854</v>
      </c>
      <c r="J13" s="354">
        <f>SUMMARY!BU14</f>
        <v>30.481005816629974</v>
      </c>
      <c r="L13" s="151"/>
    </row>
    <row r="14" spans="1:12" x14ac:dyDescent="0.35">
      <c r="A14" s="165" t="str">
        <f>SUMMARY!B15</f>
        <v>Bebee Cove</v>
      </c>
      <c r="B14" s="156">
        <f>SUMMARY!C15</f>
        <v>10</v>
      </c>
      <c r="C14" s="157">
        <f>SUMMARY!BO15</f>
        <v>53.486400000000003</v>
      </c>
      <c r="D14" s="157">
        <f>SUMMARY!BP15</f>
        <v>2.5442621606688807</v>
      </c>
      <c r="E14" s="158">
        <f>SUMMARY!K15</f>
        <v>1.1875</v>
      </c>
      <c r="F14" s="358">
        <f>SUMMARY!BQ15</f>
        <v>2.84</v>
      </c>
      <c r="G14" s="157">
        <f>SUMMARY!BR15</f>
        <v>3</v>
      </c>
      <c r="H14" s="362">
        <f>SUMMARY!BS15</f>
        <v>3.3243195702892738E-3</v>
      </c>
      <c r="I14" s="358">
        <f>SUMMARY!BT15</f>
        <v>3.9407675868892582</v>
      </c>
      <c r="J14" s="355">
        <f>SUMMARY!BU15</f>
        <v>0</v>
      </c>
      <c r="L14" s="151"/>
    </row>
    <row r="15" spans="1:12" ht="24.5" thickBot="1" x14ac:dyDescent="0.4">
      <c r="A15" s="167" t="str">
        <f>SUMMARY!B16</f>
        <v>Mystic R. + Williams C. + Beebe C.</v>
      </c>
      <c r="B15" s="168" t="str">
        <f>SUMMARY!C16</f>
        <v xml:space="preserve"> 8-9-10</v>
      </c>
      <c r="C15" s="169">
        <f>SUMMARY!BO16</f>
        <v>176.40180000000001</v>
      </c>
      <c r="D15" s="169">
        <f>SUMMARY!BP16</f>
        <v>59.712596638809806</v>
      </c>
      <c r="E15" s="170">
        <f>SUMMARY!K16</f>
        <v>1.2313700880603258</v>
      </c>
      <c r="F15" s="359">
        <f>SUMMARY!BQ16</f>
        <v>3.15</v>
      </c>
      <c r="G15" s="169">
        <f>SUMMARY!BR16</f>
        <v>2</v>
      </c>
      <c r="H15" s="363">
        <f>SUMMARY!BS16</f>
        <v>4.1239782922067023E-2</v>
      </c>
      <c r="I15" s="359">
        <f>SUMMARY!BT16</f>
        <v>2.5603098339308086</v>
      </c>
      <c r="J15" s="356">
        <f>SUMMARY!BU16</f>
        <v>25.306583334893102</v>
      </c>
      <c r="L15" s="151"/>
    </row>
    <row r="16" spans="1:12" ht="15" thickBot="1" x14ac:dyDescent="0.4">
      <c r="A16" s="174" t="str">
        <f>SUMMARY!B17</f>
        <v>West Cove</v>
      </c>
      <c r="B16" s="175">
        <f>SUMMARY!C17</f>
        <v>11</v>
      </c>
      <c r="C16" s="176">
        <f>SUMMARY!BO17</f>
        <v>16.604700000000001</v>
      </c>
      <c r="D16" s="176">
        <f>SUMMARY!BP17</f>
        <v>2.6236358456355728</v>
      </c>
      <c r="E16" s="177">
        <f>SUMMARY!K17</f>
        <v>2.1</v>
      </c>
      <c r="F16" s="360">
        <f>SUMMARY!BQ17</f>
        <v>2.2400000000000002</v>
      </c>
      <c r="G16" s="176">
        <f>SUMMARY!BR17</f>
        <v>0</v>
      </c>
      <c r="H16" s="364">
        <f>SUMMARY!BS17</f>
        <v>1.5721313308953702E-3</v>
      </c>
      <c r="I16" s="360">
        <f>SUMMARY!BT17</f>
        <v>4.7937464424570733</v>
      </c>
      <c r="J16" s="357">
        <f>SUMMARY!BU17</f>
        <v>0</v>
      </c>
      <c r="L16" s="151"/>
    </row>
    <row r="17" spans="1:12" ht="15" thickBot="1" x14ac:dyDescent="0.4">
      <c r="A17" s="174" t="str">
        <f>SUMMARY!B18</f>
        <v>Palmer Cove</v>
      </c>
      <c r="B17" s="175">
        <f>SUMMARY!C18</f>
        <v>12</v>
      </c>
      <c r="C17" s="176">
        <f>SUMMARY!BO18</f>
        <v>59.954700000000003</v>
      </c>
      <c r="D17" s="176">
        <f>SUMMARY!BP18</f>
        <v>7.1588607395650374</v>
      </c>
      <c r="E17" s="177">
        <f>SUMMARY!K18</f>
        <v>0.78880579079629398</v>
      </c>
      <c r="F17" s="360">
        <f>SUMMARY!BQ18</f>
        <v>2.2400000000000002</v>
      </c>
      <c r="G17" s="176">
        <f>SUMMARY!BR18</f>
        <v>4</v>
      </c>
      <c r="H17" s="364">
        <f>SUMMARY!BS18</f>
        <v>1.6131154063704026E-2</v>
      </c>
      <c r="I17" s="360">
        <f>SUMMARY!BT18</f>
        <v>2.5922338446325206</v>
      </c>
      <c r="J17" s="357">
        <f>SUMMARY!BU18</f>
        <v>0</v>
      </c>
      <c r="L17" s="151"/>
    </row>
    <row r="18" spans="1:12" ht="15" thickBot="1" x14ac:dyDescent="0.4">
      <c r="A18" s="174" t="str">
        <f>SUMMARY!B19</f>
        <v>Venetian Harbor</v>
      </c>
      <c r="B18" s="175">
        <f>SUMMARY!C19</f>
        <v>13</v>
      </c>
      <c r="C18" s="176">
        <f>SUMMARY!BO19</f>
        <v>8.1395999999999997</v>
      </c>
      <c r="D18" s="176">
        <f>SUMMARY!BP19</f>
        <v>17.764250218487398</v>
      </c>
      <c r="E18" s="177">
        <f>SUMMARY!K19</f>
        <v>1.9071428571428599</v>
      </c>
      <c r="F18" s="360">
        <f>SUMMARY!BQ19</f>
        <v>2.54</v>
      </c>
      <c r="G18" s="176">
        <f>SUMMARY!BR19</f>
        <v>4</v>
      </c>
      <c r="H18" s="364">
        <f>SUMMARY!BS19</f>
        <v>2.523369996848331E-3</v>
      </c>
      <c r="I18" s="360">
        <f>SUMMARY!BT19</f>
        <v>3.8004005429116816</v>
      </c>
      <c r="J18" s="357">
        <f>SUMMARY!BU19</f>
        <v>0</v>
      </c>
      <c r="L18" s="151"/>
    </row>
    <row r="19" spans="1:12" ht="15" thickBot="1" x14ac:dyDescent="0.4">
      <c r="A19" s="174" t="str">
        <f>SUMMARY!B20</f>
        <v>Mumford Cove</v>
      </c>
      <c r="B19" s="175">
        <f>SUMMARY!C20</f>
        <v>14</v>
      </c>
      <c r="C19" s="176">
        <f>SUMMARY!BO20</f>
        <v>116.54259999999999</v>
      </c>
      <c r="D19" s="176">
        <f>SUMMARY!BP20</f>
        <v>6.144591749531072</v>
      </c>
      <c r="E19" s="177">
        <f>SUMMARY!K20</f>
        <v>1.5296296296296299</v>
      </c>
      <c r="F19" s="360">
        <f>SUMMARY!BQ20</f>
        <v>3.75</v>
      </c>
      <c r="G19" s="176">
        <f>SUMMARY!BR20</f>
        <v>0</v>
      </c>
      <c r="H19" s="364">
        <f>SUMMARY!BS20</f>
        <v>6.9979621025089058E-3</v>
      </c>
      <c r="I19" s="360">
        <f>SUMMARY!BT20</f>
        <v>2.4987516848577229</v>
      </c>
      <c r="J19" s="357">
        <f>SUMMARY!BU20</f>
        <v>0</v>
      </c>
      <c r="L19" s="151"/>
    </row>
    <row r="20" spans="1:12" ht="15" thickBot="1" x14ac:dyDescent="0.4">
      <c r="A20" s="174" t="str">
        <f>SUMMARY!B21</f>
        <v>Poquonock River</v>
      </c>
      <c r="B20" s="175">
        <f>SUMMARY!C21</f>
        <v>15</v>
      </c>
      <c r="C20" s="176">
        <f>SUMMARY!BO21</f>
        <v>94.945099999999996</v>
      </c>
      <c r="D20" s="176">
        <f>SUMMARY!BP21</f>
        <v>14.231790631006762</v>
      </c>
      <c r="E20" s="177">
        <f>SUMMARY!K21</f>
        <v>1.48125</v>
      </c>
      <c r="F20" s="360">
        <f>SUMMARY!BQ21</f>
        <v>3.45</v>
      </c>
      <c r="G20" s="176">
        <f>SUMMARY!BR21</f>
        <v>4</v>
      </c>
      <c r="H20" s="364">
        <f>SUMMARY!BS21</f>
        <v>4.8677091032423708E-2</v>
      </c>
      <c r="I20" s="360">
        <f>SUMMARY!BT21</f>
        <v>1.5867281448233521</v>
      </c>
      <c r="J20" s="357">
        <f>SUMMARY!BU21</f>
        <v>0</v>
      </c>
      <c r="L20" s="151"/>
    </row>
    <row r="21" spans="1:12" ht="15" thickBot="1" x14ac:dyDescent="0.4">
      <c r="A21" s="174" t="str">
        <f>SUMMARY!B22</f>
        <v>Baker Cove</v>
      </c>
      <c r="B21" s="175">
        <f>SUMMARY!C22</f>
        <v>16</v>
      </c>
      <c r="C21" s="176">
        <f>SUMMARY!BO22</f>
        <v>66.373900000000006</v>
      </c>
      <c r="D21" s="176">
        <f>SUMMARY!BP22</f>
        <v>8.1554719334919312</v>
      </c>
      <c r="E21" s="177">
        <f>SUMMARY!K22</f>
        <v>1.0488628060126</v>
      </c>
      <c r="F21" s="360">
        <f>SUMMARY!BQ22</f>
        <v>2.89</v>
      </c>
      <c r="G21" s="176">
        <f>SUMMARY!BR22</f>
        <v>4</v>
      </c>
      <c r="H21" s="364">
        <f>SUMMARY!BS22</f>
        <v>8.2004885730255252E-3</v>
      </c>
      <c r="I21" s="360">
        <f>SUMMARY!BT22</f>
        <v>4.3431738872135996</v>
      </c>
      <c r="J21" s="357">
        <f>SUMMARY!BU22</f>
        <v>0</v>
      </c>
      <c r="L21" s="151"/>
    </row>
    <row r="22" spans="1:12" ht="15" thickBot="1" x14ac:dyDescent="0.4">
      <c r="A22" s="174" t="str">
        <f>SUMMARY!B24</f>
        <v>Alewife Cove</v>
      </c>
      <c r="B22" s="175">
        <f>SUMMARY!C24</f>
        <v>18</v>
      </c>
      <c r="C22" s="176">
        <f>SUMMARY!BO24</f>
        <v>16.734000000000002</v>
      </c>
      <c r="D22" s="176">
        <f>SUMMARY!BP24</f>
        <v>33.251665623616589</v>
      </c>
      <c r="E22" s="177">
        <f>SUMMARY!K24</f>
        <v>0.55000986016493403</v>
      </c>
      <c r="F22" s="360">
        <f>SUMMARY!BQ24</f>
        <v>1.2533999860290002</v>
      </c>
      <c r="G22" s="176">
        <f>SUMMARY!BR24</f>
        <v>3</v>
      </c>
      <c r="H22" s="364">
        <f>SUMMARY!BS24</f>
        <v>3.0671574724700446E-2</v>
      </c>
      <c r="I22" s="360">
        <f>SUMMARY!BT24</f>
        <v>2.2268019687149296</v>
      </c>
      <c r="J22" s="357">
        <f>SUMMARY!BU24</f>
        <v>0</v>
      </c>
      <c r="L22" s="151"/>
    </row>
    <row r="23" spans="1:12" ht="15" thickBot="1" x14ac:dyDescent="0.4">
      <c r="A23" s="174" t="str">
        <f>SUMMARY!B25</f>
        <v>Goshen Cove</v>
      </c>
      <c r="B23" s="175">
        <f>SUMMARY!C25</f>
        <v>19</v>
      </c>
      <c r="C23" s="176">
        <f>SUMMARY!BO25</f>
        <v>11.4245</v>
      </c>
      <c r="D23" s="176">
        <f>SUMMARY!BP25</f>
        <v>4.4855375924520988</v>
      </c>
      <c r="E23" s="177">
        <f>SUMMARY!K25</f>
        <v>0.55000481421506398</v>
      </c>
      <c r="F23" s="360">
        <f>SUMMARY!BQ25</f>
        <v>1.2587999880309999</v>
      </c>
      <c r="G23" s="176">
        <f>SUMMARY!BR25</f>
        <v>3</v>
      </c>
      <c r="H23" s="364">
        <f>SUMMARY!BS25</f>
        <v>3.2349089458134694E-2</v>
      </c>
      <c r="I23" s="360">
        <f>SUMMARY!BT25</f>
        <v>2.9772114594521111</v>
      </c>
      <c r="J23" s="357">
        <f>SUMMARY!BU25</f>
        <v>0</v>
      </c>
      <c r="L23" s="151"/>
    </row>
    <row r="24" spans="1:12" ht="15" thickBot="1" x14ac:dyDescent="0.4">
      <c r="A24" s="174" t="str">
        <f>SUMMARY!B26</f>
        <v>Jordan Cove</v>
      </c>
      <c r="B24" s="175">
        <f>SUMMARY!C26</f>
        <v>20</v>
      </c>
      <c r="C24" s="176">
        <f>SUMMARY!BO26</f>
        <v>54.560299999999998</v>
      </c>
      <c r="D24" s="176">
        <f>SUMMARY!BP26</f>
        <v>19.073099827156376</v>
      </c>
      <c r="E24" s="177">
        <f>SUMMARY!K26</f>
        <v>0.76668795809407198</v>
      </c>
      <c r="F24" s="360">
        <f>SUMMARY!BQ26</f>
        <v>3.76</v>
      </c>
      <c r="G24" s="176">
        <f>SUMMARY!BR26</f>
        <v>4</v>
      </c>
      <c r="H24" s="364">
        <f>SUMMARY!BS26</f>
        <v>5.6196389493230692E-2</v>
      </c>
      <c r="I24" s="360">
        <f>SUMMARY!BT26</f>
        <v>1.4118098140732855</v>
      </c>
      <c r="J24" s="357">
        <f>SUMMARY!BU26</f>
        <v>0</v>
      </c>
      <c r="L24" s="151"/>
    </row>
    <row r="25" spans="1:12" ht="15" thickBot="1" x14ac:dyDescent="0.4">
      <c r="A25" s="174" t="str">
        <f>SUMMARY!B27</f>
        <v>Gardners Pond</v>
      </c>
      <c r="B25" s="175">
        <f>SUMMARY!C27</f>
        <v>21</v>
      </c>
      <c r="C25" s="176">
        <f>SUMMARY!BO27</f>
        <v>1.3704000000000001</v>
      </c>
      <c r="D25" s="176">
        <f>SUMMARY!BP27</f>
        <v>16.191883151900175</v>
      </c>
      <c r="E25" s="177">
        <f>SUMMARY!K27</f>
        <v>0.55008026853473402</v>
      </c>
      <c r="F25" s="360">
        <f>SUMMARY!BQ27</f>
        <v>1.267700004578</v>
      </c>
      <c r="G25" s="176">
        <f>SUMMARY!BR27</f>
        <v>3</v>
      </c>
      <c r="H25" s="364">
        <f>SUMMARY!BS27</f>
        <v>5.9232055631457175E-3</v>
      </c>
      <c r="I25" s="360">
        <f>SUMMARY!BT27</f>
        <v>1.8670885655135769</v>
      </c>
      <c r="J25" s="357">
        <f>SUMMARY!BU27</f>
        <v>0</v>
      </c>
      <c r="L25" s="151"/>
    </row>
    <row r="26" spans="1:12" x14ac:dyDescent="0.35">
      <c r="A26" s="160" t="str">
        <f>SUMMARY!B28</f>
        <v>Niantic River</v>
      </c>
      <c r="B26" s="161">
        <f>SUMMARY!C28</f>
        <v>22</v>
      </c>
      <c r="C26" s="162">
        <f>SUMMARY!BO28</f>
        <v>321.01010000000002</v>
      </c>
      <c r="D26" s="162">
        <f>SUMMARY!BP28</f>
        <v>13.433605354343682</v>
      </c>
      <c r="E26" s="163">
        <f>SUMMARY!K28</f>
        <v>2.03690476190476</v>
      </c>
      <c r="F26" s="352">
        <f>SUMMARY!BQ28</f>
        <v>6.17</v>
      </c>
      <c r="G26" s="162">
        <f>SUMMARY!BR28</f>
        <v>3</v>
      </c>
      <c r="H26" s="353">
        <f>SUMMARY!BS28</f>
        <v>2.0997191524481994E-2</v>
      </c>
      <c r="I26" s="352">
        <f>SUMMARY!BT28</f>
        <v>1.2815929797148853</v>
      </c>
      <c r="J26" s="354">
        <f>SUMMARY!BU28</f>
        <v>0</v>
      </c>
      <c r="L26" s="151"/>
    </row>
    <row r="27" spans="1:12" x14ac:dyDescent="0.35">
      <c r="A27" s="165" t="str">
        <f>SUMMARY!B29</f>
        <v>Niantic Bay</v>
      </c>
      <c r="B27" s="156">
        <f>SUMMARY!C29</f>
        <v>23</v>
      </c>
      <c r="C27" s="157">
        <f>SUMMARY!BO29</f>
        <v>814.46529999999996</v>
      </c>
      <c r="D27" s="157">
        <f>SUMMARY!BP29</f>
        <v>1.0483843635941275</v>
      </c>
      <c r="E27" s="158">
        <f>SUMMARY!K29</f>
        <v>4.4938818565400798</v>
      </c>
      <c r="F27" s="358">
        <f>SUMMARY!BQ29</f>
        <v>14.76</v>
      </c>
      <c r="G27" s="157">
        <f>SUMMARY!BR29</f>
        <v>0</v>
      </c>
      <c r="H27" s="362">
        <f>SUMMARY!BS29</f>
        <v>8.7825616458031761E-3</v>
      </c>
      <c r="I27" s="358">
        <f>SUMMARY!BT29</f>
        <v>1.793180539933233</v>
      </c>
      <c r="J27" s="355">
        <f>SUMMARY!BU29</f>
        <v>0</v>
      </c>
      <c r="L27" s="151"/>
    </row>
    <row r="28" spans="1:12" ht="24.5" thickBot="1" x14ac:dyDescent="0.4">
      <c r="A28" s="167" t="str">
        <f>SUMMARY!B30</f>
        <v>Niantic River + Niantic Bay</v>
      </c>
      <c r="B28" s="168" t="str">
        <f>SUMMARY!C30</f>
        <v>22-23</v>
      </c>
      <c r="C28" s="169">
        <f>SUMMARY!BO30</f>
        <v>1135.4754</v>
      </c>
      <c r="D28" s="169">
        <f>SUMMARY!BP30</f>
        <v>7.9297133489500533</v>
      </c>
      <c r="E28" s="170">
        <f>SUMMARY!K30</f>
        <v>3.7992701874131276</v>
      </c>
      <c r="F28" s="359">
        <f>SUMMARY!BQ30</f>
        <v>14.76</v>
      </c>
      <c r="G28" s="169">
        <f>SUMMARY!BR30</f>
        <v>2</v>
      </c>
      <c r="H28" s="363">
        <f>SUMMARY!BS30</f>
        <v>6.2996448057065597E-3</v>
      </c>
      <c r="I28" s="359">
        <f>SUMMARY!BT30</f>
        <v>1.7976049856566469</v>
      </c>
      <c r="J28" s="356">
        <f>SUMMARY!BU30</f>
        <v>0</v>
      </c>
      <c r="L28" s="151"/>
    </row>
    <row r="29" spans="1:12" ht="15" thickBot="1" x14ac:dyDescent="0.4">
      <c r="A29" s="174" t="str">
        <f>SUMMARY!B31</f>
        <v>Pattagansett River</v>
      </c>
      <c r="B29" s="175">
        <f>SUMMARY!C31</f>
        <v>24</v>
      </c>
      <c r="C29" s="176">
        <f>SUMMARY!BO31</f>
        <v>12.4681</v>
      </c>
      <c r="D29" s="176">
        <f>SUMMARY!BP31</f>
        <v>44.472311514994274</v>
      </c>
      <c r="E29" s="177">
        <f>SUMMARY!K31</f>
        <v>0.55001764503011696</v>
      </c>
      <c r="F29" s="360">
        <f>SUMMARY!BQ31</f>
        <v>1.2740000069140001</v>
      </c>
      <c r="G29" s="176">
        <f>SUMMARY!BR31</f>
        <v>3</v>
      </c>
      <c r="H29" s="364">
        <f>SUMMARY!BS31</f>
        <v>0.17092831183885301</v>
      </c>
      <c r="I29" s="360">
        <f>SUMMARY!BT31</f>
        <v>0.94176307029497475</v>
      </c>
      <c r="J29" s="357">
        <f>SUMMARY!BU31</f>
        <v>0</v>
      </c>
      <c r="L29" s="151"/>
    </row>
    <row r="30" spans="1:12" ht="15" thickBot="1" x14ac:dyDescent="0.4">
      <c r="A30" s="174" t="str">
        <f>SUMMARY!B32</f>
        <v>Bride Brook</v>
      </c>
      <c r="B30" s="175">
        <f>SUMMARY!C32</f>
        <v>25</v>
      </c>
      <c r="C30" s="176">
        <f>SUMMARY!BO32</f>
        <v>7.2011000000000003</v>
      </c>
      <c r="D30" s="176">
        <f>SUMMARY!BP32</f>
        <v>78.540607353043285</v>
      </c>
      <c r="E30" s="177">
        <f>SUMMARY!K32</f>
        <v>0.54996181138992695</v>
      </c>
      <c r="F30" s="360">
        <f>SUMMARY!BQ32</f>
        <v>1.2975999891760002</v>
      </c>
      <c r="G30" s="176">
        <f>SUMMARY!BR32</f>
        <v>3</v>
      </c>
      <c r="H30" s="364">
        <f>SUMMARY!BS32</f>
        <v>0.13440462942583487</v>
      </c>
      <c r="I30" s="360">
        <f>SUMMARY!BT32</f>
        <v>1.3131090886797743</v>
      </c>
      <c r="J30" s="357">
        <f>SUMMARY!BU32</f>
        <v>0</v>
      </c>
      <c r="L30" s="151"/>
    </row>
    <row r="31" spans="1:12" ht="15" thickBot="1" x14ac:dyDescent="0.4">
      <c r="A31" s="174" t="str">
        <f>SUMMARY!B33</f>
        <v>Four Mile River</v>
      </c>
      <c r="B31" s="175">
        <f>SUMMARY!C33</f>
        <v>26</v>
      </c>
      <c r="C31" s="176">
        <f>SUMMARY!BO33</f>
        <v>7.9423000000000004</v>
      </c>
      <c r="D31" s="176">
        <f>SUMMARY!BP33</f>
        <v>19.824016804401751</v>
      </c>
      <c r="E31" s="177">
        <f>SUMMARY!K33</f>
        <v>0.54997922516147701</v>
      </c>
      <c r="F31" s="360">
        <f>SUMMARY!BQ33</f>
        <v>1.303799974918</v>
      </c>
      <c r="G31" s="176">
        <f>SUMMARY!BR33</f>
        <v>3</v>
      </c>
      <c r="H31" s="364">
        <f>SUMMARY!BS33</f>
        <v>0.22141986238987602</v>
      </c>
      <c r="I31" s="360">
        <f>SUMMARY!BT33</f>
        <v>0.7481458178891246</v>
      </c>
      <c r="J31" s="357">
        <f>SUMMARY!BU33</f>
        <v>0</v>
      </c>
      <c r="L31" s="151"/>
    </row>
    <row r="32" spans="1:12" ht="15" thickBot="1" x14ac:dyDescent="0.4">
      <c r="A32" s="174" t="str">
        <f>SUMMARY!B34</f>
        <v>Threemile River</v>
      </c>
      <c r="B32" s="175">
        <f>SUMMARY!C34</f>
        <v>27</v>
      </c>
      <c r="C32" s="176">
        <f>SUMMARY!BO34</f>
        <v>4.0406000000000004</v>
      </c>
      <c r="D32" s="176">
        <f>SUMMARY!BP34</f>
        <v>26.335083960302921</v>
      </c>
      <c r="E32" s="177">
        <f>SUMMARY!K34</f>
        <v>0.54995916448052296</v>
      </c>
      <c r="F32" s="360">
        <f>SUMMARY!BQ34</f>
        <v>1.306099998951</v>
      </c>
      <c r="G32" s="176">
        <f>SUMMARY!BR34</f>
        <v>4</v>
      </c>
      <c r="H32" s="364">
        <f>SUMMARY!BS34</f>
        <v>9.4477430939643475E-2</v>
      </c>
      <c r="I32" s="360">
        <f>SUMMARY!BT34</f>
        <v>1.2365681557295334</v>
      </c>
      <c r="J32" s="357">
        <f>SUMMARY!BU34</f>
        <v>0</v>
      </c>
      <c r="L32" s="151"/>
    </row>
    <row r="33" spans="1:12" ht="15" thickBot="1" x14ac:dyDescent="0.4">
      <c r="A33" s="174" t="str">
        <f>SUMMARY!B35</f>
        <v>Black Hall River</v>
      </c>
      <c r="B33" s="175">
        <f>SUMMARY!C35</f>
        <v>28</v>
      </c>
      <c r="C33" s="176">
        <f>SUMMARY!BO35</f>
        <v>39.449300000000001</v>
      </c>
      <c r="D33" s="176">
        <f>SUMMARY!BP35</f>
        <v>26.535245136861743</v>
      </c>
      <c r="E33" s="177">
        <f>SUMMARY!K35</f>
        <v>0.696621148326248</v>
      </c>
      <c r="F33" s="360">
        <f>SUMMARY!BQ35</f>
        <v>2.31</v>
      </c>
      <c r="G33" s="176">
        <f>SUMMARY!BR35</f>
        <v>2</v>
      </c>
      <c r="H33" s="364">
        <f>SUMMARY!BS35</f>
        <v>3.2358493863182812E-2</v>
      </c>
      <c r="I33" s="360">
        <f>SUMMARY!BT35</f>
        <v>1.7282658222647516</v>
      </c>
      <c r="J33" s="357">
        <f>SUMMARY!BU35</f>
        <v>0</v>
      </c>
      <c r="L33" s="151"/>
    </row>
    <row r="34" spans="1:12" ht="15" thickBot="1" x14ac:dyDescent="0.4">
      <c r="A34" s="174" t="str">
        <f>SUMMARY!B37</f>
        <v>South Cove</v>
      </c>
      <c r="B34" s="175">
        <f>SUMMARY!C37</f>
        <v>30</v>
      </c>
      <c r="C34" s="176">
        <f>SUMMARY!BO37</f>
        <v>128.08420000000001</v>
      </c>
      <c r="D34" s="176">
        <f>SUMMARY!BP37</f>
        <v>3.1694558472036363</v>
      </c>
      <c r="E34" s="177">
        <f>SUMMARY!K37</f>
        <v>0.60000093688370604</v>
      </c>
      <c r="F34" s="360">
        <f>SUMMARY!BQ37</f>
        <v>1.3583000183110001</v>
      </c>
      <c r="G34" s="176">
        <f>SUMMARY!BR37</f>
        <v>3</v>
      </c>
      <c r="H34" s="364">
        <f>SUMMARY!BS37</f>
        <v>1.6925190291204961E-3</v>
      </c>
      <c r="I34" s="360">
        <f>SUMMARY!BT37</f>
        <v>9.2739743446389404</v>
      </c>
      <c r="J34" s="357">
        <f>SUMMARY!BU37</f>
        <v>0</v>
      </c>
      <c r="L34" s="151"/>
    </row>
    <row r="35" spans="1:12" ht="15" thickBot="1" x14ac:dyDescent="0.4">
      <c r="A35" s="174" t="str">
        <f>SUMMARY!B38</f>
        <v>Indiantown Harbor</v>
      </c>
      <c r="B35" s="175">
        <f>SUMMARY!C38</f>
        <v>31</v>
      </c>
      <c r="C35" s="176">
        <f>SUMMARY!BO38</f>
        <v>14.378399999999999</v>
      </c>
      <c r="D35" s="176">
        <f>SUMMARY!BP38</f>
        <v>52.283744680381687</v>
      </c>
      <c r="E35" s="177">
        <f>SUMMARY!K38</f>
        <v>0.6</v>
      </c>
      <c r="F35" s="360">
        <f>SUMMARY!BQ38</f>
        <v>1.382499980927</v>
      </c>
      <c r="G35" s="176">
        <f>SUMMARY!BR38</f>
        <v>0</v>
      </c>
      <c r="H35" s="364">
        <f>SUMMARY!BS38</f>
        <v>1.6848940891859891E-2</v>
      </c>
      <c r="I35" s="360">
        <f>SUMMARY!BT38</f>
        <v>5.8339110537037708</v>
      </c>
      <c r="J35" s="357">
        <f>SUMMARY!BU38</f>
        <v>0</v>
      </c>
      <c r="L35" s="151"/>
    </row>
    <row r="36" spans="1:12" ht="24.5" thickBot="1" x14ac:dyDescent="0.4">
      <c r="A36" s="174" t="str">
        <f>SUMMARY!B39</f>
        <v>Oyster River, Old Saybrook</v>
      </c>
      <c r="B36" s="175">
        <f>SUMMARY!C39</f>
        <v>32</v>
      </c>
      <c r="C36" s="176">
        <f>SUMMARY!BO39</f>
        <v>10.685600000000001</v>
      </c>
      <c r="D36" s="176">
        <f>SUMMARY!BP39</f>
        <v>89.782859190536783</v>
      </c>
      <c r="E36" s="177">
        <f>SUMMARY!K39</f>
        <v>0.54998970577225403</v>
      </c>
      <c r="F36" s="360">
        <f>SUMMARY!BQ39</f>
        <v>1.3486999750140001</v>
      </c>
      <c r="G36" s="176">
        <f>SUMMARY!BR39</f>
        <v>0</v>
      </c>
      <c r="H36" s="364">
        <f>SUMMARY!BS39</f>
        <v>0.12529495423094977</v>
      </c>
      <c r="I36" s="360">
        <f>SUMMARY!BT39</f>
        <v>1.6628382098422323</v>
      </c>
      <c r="J36" s="357">
        <f>SUMMARY!BU39</f>
        <v>0</v>
      </c>
      <c r="L36" s="151"/>
    </row>
    <row r="37" spans="1:12" ht="15" thickBot="1" x14ac:dyDescent="0.4">
      <c r="A37" s="174" t="str">
        <f>SUMMARY!B40</f>
        <v>Hagar Creek</v>
      </c>
      <c r="B37" s="175">
        <f>SUMMARY!C40</f>
        <v>33</v>
      </c>
      <c r="C37" s="176">
        <f>SUMMARY!BO40</f>
        <v>1.8884000000000001</v>
      </c>
      <c r="D37" s="176">
        <f>SUMMARY!BP40</f>
        <v>14.056507933535796</v>
      </c>
      <c r="E37" s="177">
        <f>SUMMARY!K40</f>
        <v>0.60012709171785705</v>
      </c>
      <c r="F37" s="360">
        <f>SUMMARY!BQ40</f>
        <v>1.4485999822619999</v>
      </c>
      <c r="G37" s="176">
        <f>SUMMARY!BR40</f>
        <v>0</v>
      </c>
      <c r="H37" s="364">
        <f>SUMMARY!BS40</f>
        <v>4.9530037139422368E-2</v>
      </c>
      <c r="I37" s="360">
        <f>SUMMARY!BT40</f>
        <v>4.3234451330642969</v>
      </c>
      <c r="J37" s="357">
        <f>SUMMARY!BU40</f>
        <v>0</v>
      </c>
      <c r="L37" s="151"/>
    </row>
    <row r="38" spans="1:12" ht="15" thickBot="1" x14ac:dyDescent="0.4">
      <c r="A38" s="174" t="str">
        <f>SUMMARY!B41</f>
        <v>Patchogue River</v>
      </c>
      <c r="B38" s="175">
        <f>SUMMARY!C41</f>
        <v>34</v>
      </c>
      <c r="C38" s="176">
        <f>SUMMARY!BO41</f>
        <v>18.461300000000001</v>
      </c>
      <c r="D38" s="176">
        <f>SUMMARY!BP41</f>
        <v>134.67415247074149</v>
      </c>
      <c r="E38" s="177">
        <f>SUMMARY!K41</f>
        <v>0.65</v>
      </c>
      <c r="F38" s="360">
        <f>SUMMARY!BQ41</f>
        <v>1.55</v>
      </c>
      <c r="G38" s="176">
        <f>SUMMARY!BR41</f>
        <v>0</v>
      </c>
      <c r="H38" s="364">
        <f>SUMMARY!BS41</f>
        <v>7.7499942664106258E-2</v>
      </c>
      <c r="I38" s="360">
        <f>SUMMARY!BT41</f>
        <v>1.4979248412020412</v>
      </c>
      <c r="J38" s="357">
        <f>SUMMARY!BU41</f>
        <v>0</v>
      </c>
      <c r="L38" s="151"/>
    </row>
    <row r="39" spans="1:12" ht="15" thickBot="1" x14ac:dyDescent="0.4">
      <c r="A39" s="174" t="str">
        <f>SUMMARY!B42</f>
        <v>Menunkesucket River</v>
      </c>
      <c r="B39" s="175">
        <f>SUMMARY!C42</f>
        <v>35</v>
      </c>
      <c r="C39" s="176">
        <f>SUMMARY!BO42</f>
        <v>25.484200000000001</v>
      </c>
      <c r="D39" s="176">
        <f>SUMMARY!BP42</f>
        <v>79.884860675226221</v>
      </c>
      <c r="E39" s="177">
        <f>SUMMARY!K42</f>
        <v>0.94879513580963903</v>
      </c>
      <c r="F39" s="360">
        <f>SUMMARY!BQ42</f>
        <v>2.19</v>
      </c>
      <c r="G39" s="176">
        <f>SUMMARY!BR42</f>
        <v>3</v>
      </c>
      <c r="H39" s="364">
        <f>SUMMARY!BS42</f>
        <v>0.11229171453592685</v>
      </c>
      <c r="I39" s="360">
        <f>SUMMARY!BT42</f>
        <v>1.0771337666236618</v>
      </c>
      <c r="J39" s="357">
        <f>SUMMARY!BU42</f>
        <v>0</v>
      </c>
      <c r="L39" s="151"/>
    </row>
    <row r="40" spans="1:12" ht="15" thickBot="1" x14ac:dyDescent="0.4">
      <c r="A40" s="174" t="str">
        <f>SUMMARY!B43</f>
        <v>Clinton Harbor</v>
      </c>
      <c r="B40" s="175">
        <f>SUMMARY!C43</f>
        <v>36</v>
      </c>
      <c r="C40" s="176">
        <f>SUMMARY!BO43</f>
        <v>311.24770000000001</v>
      </c>
      <c r="D40" s="176">
        <f>SUMMARY!BP43</f>
        <v>22.510537169211535</v>
      </c>
      <c r="E40" s="177">
        <f>SUMMARY!K43</f>
        <v>1.1471122838819401</v>
      </c>
      <c r="F40" s="360">
        <f>SUMMARY!BQ43</f>
        <v>4.07</v>
      </c>
      <c r="G40" s="176">
        <f>SUMMARY!BR43</f>
        <v>0</v>
      </c>
      <c r="H40" s="364">
        <f>SUMMARY!BS43</f>
        <v>2.7376966440314426E-2</v>
      </c>
      <c r="I40" s="360">
        <f>SUMMARY!BT43</f>
        <v>1.6741803997963216</v>
      </c>
      <c r="J40" s="357">
        <f>SUMMARY!BU43</f>
        <v>0</v>
      </c>
      <c r="L40" s="151"/>
    </row>
    <row r="41" spans="1:12" ht="15" thickBot="1" x14ac:dyDescent="0.4">
      <c r="A41" s="174" t="str">
        <f>SUMMARY!B44</f>
        <v>Toms Creek</v>
      </c>
      <c r="B41" s="175">
        <f>SUMMARY!C44</f>
        <v>37</v>
      </c>
      <c r="C41" s="176">
        <f>SUMMARY!BO44</f>
        <v>1.5714999999999999</v>
      </c>
      <c r="D41" s="176">
        <f>SUMMARY!BP44</f>
        <v>19.167574308348076</v>
      </c>
      <c r="E41" s="177">
        <f>SUMMARY!K44</f>
        <v>0.65008272351256802</v>
      </c>
      <c r="F41" s="360">
        <f>SUMMARY!BQ44</f>
        <v>1.502899992466</v>
      </c>
      <c r="G41" s="176">
        <f>SUMMARY!BR44</f>
        <v>0</v>
      </c>
      <c r="H41" s="364">
        <f>SUMMARY!BS44</f>
        <v>0.12410487237907457</v>
      </c>
      <c r="I41" s="360">
        <f>SUMMARY!BT44</f>
        <v>3.427309626604262</v>
      </c>
      <c r="J41" s="357">
        <f>SUMMARY!BU44</f>
        <v>0</v>
      </c>
      <c r="L41" s="151"/>
    </row>
    <row r="42" spans="1:12" ht="15" thickBot="1" x14ac:dyDescent="0.4">
      <c r="A42" s="174" t="str">
        <f>SUMMARY!B45</f>
        <v>Fence Creek</v>
      </c>
      <c r="B42" s="175">
        <f>SUMMARY!C45</f>
        <v>38</v>
      </c>
      <c r="C42" s="176">
        <f>SUMMARY!BO45</f>
        <v>1.8644000000000001</v>
      </c>
      <c r="D42" s="176">
        <f>SUMMARY!BP45</f>
        <v>101.72576562132589</v>
      </c>
      <c r="E42" s="177">
        <f>SUMMARY!K45</f>
        <v>0.70015018236430004</v>
      </c>
      <c r="F42" s="360">
        <f>SUMMARY!BQ45</f>
        <v>1.5501999735830001</v>
      </c>
      <c r="G42" s="176">
        <f>SUMMARY!BR45</f>
        <v>0</v>
      </c>
      <c r="H42" s="364">
        <f>SUMMARY!BS45</f>
        <v>0.11867433381214364</v>
      </c>
      <c r="I42" s="360">
        <f>SUMMARY!BT45</f>
        <v>3.4346891231034711</v>
      </c>
      <c r="J42" s="357">
        <f>SUMMARY!BU45</f>
        <v>0</v>
      </c>
      <c r="L42" s="151"/>
    </row>
    <row r="43" spans="1:12" ht="15" thickBot="1" x14ac:dyDescent="0.4">
      <c r="A43" s="174" t="str">
        <f>SUMMARY!B46</f>
        <v>Guilford Harbor</v>
      </c>
      <c r="B43" s="175">
        <f>SUMMARY!C46</f>
        <v>39</v>
      </c>
      <c r="C43" s="176">
        <f>SUMMARY!BO46</f>
        <v>182.24369999999999</v>
      </c>
      <c r="D43" s="176">
        <f>SUMMARY!BP46</f>
        <v>36.242509010306527</v>
      </c>
      <c r="E43" s="177">
        <f>SUMMARY!K46</f>
        <v>1.0172171195081099</v>
      </c>
      <c r="F43" s="360">
        <f>SUMMARY!BQ46</f>
        <v>2.6</v>
      </c>
      <c r="G43" s="176">
        <f>SUMMARY!BR46</f>
        <v>0</v>
      </c>
      <c r="H43" s="364">
        <f>SUMMARY!BS46</f>
        <v>3.8314047771024387E-2</v>
      </c>
      <c r="I43" s="360">
        <f>SUMMARY!BT46</f>
        <v>1.8961690214522566</v>
      </c>
      <c r="J43" s="357">
        <f>SUMMARY!BU46</f>
        <v>0</v>
      </c>
      <c r="L43" s="151"/>
    </row>
    <row r="44" spans="1:12" ht="15" thickBot="1" x14ac:dyDescent="0.4">
      <c r="A44" s="174" t="str">
        <f>SUMMARY!B47</f>
        <v>Indian Cove</v>
      </c>
      <c r="B44" s="175">
        <f>SUMMARY!C47</f>
        <v>40</v>
      </c>
      <c r="C44" s="176">
        <f>SUMMARY!BO47</f>
        <v>24.2575</v>
      </c>
      <c r="D44" s="176">
        <f>SUMMARY!BP47</f>
        <v>1.649195479766711</v>
      </c>
      <c r="E44" s="177">
        <f>SUMMARY!K47</f>
        <v>1.2112744512006599</v>
      </c>
      <c r="F44" s="360">
        <f>SUMMARY!BQ47</f>
        <v>2</v>
      </c>
      <c r="G44" s="176">
        <f>SUMMARY!BR47</f>
        <v>0</v>
      </c>
      <c r="H44" s="364">
        <f>SUMMARY!BS47</f>
        <v>3.7027760267787833E-3</v>
      </c>
      <c r="I44" s="360">
        <f>SUMMARY!BT47</f>
        <v>4.4051439092749494</v>
      </c>
      <c r="J44" s="357">
        <f>SUMMARY!BU47</f>
        <v>0</v>
      </c>
      <c r="L44" s="151"/>
    </row>
    <row r="45" spans="1:12" ht="15" thickBot="1" x14ac:dyDescent="0.4">
      <c r="A45" s="174" t="str">
        <f>SUMMARY!B48</f>
        <v>Sachem Head Harbor</v>
      </c>
      <c r="B45" s="175">
        <f>SUMMARY!C48</f>
        <v>41</v>
      </c>
      <c r="C45" s="176">
        <f>SUMMARY!BO48</f>
        <v>13.1008</v>
      </c>
      <c r="D45" s="176">
        <f>SUMMARY!BP48</f>
        <v>3.0625669403090647</v>
      </c>
      <c r="E45" s="177">
        <f>SUMMARY!K48</f>
        <v>1.4130642403517299</v>
      </c>
      <c r="F45" s="360">
        <f>SUMMARY!BQ48</f>
        <v>3.85</v>
      </c>
      <c r="G45" s="176">
        <f>SUMMARY!BR48</f>
        <v>0</v>
      </c>
      <c r="H45" s="364">
        <f>SUMMARY!BS48</f>
        <v>2.0638419567957822E-3</v>
      </c>
      <c r="I45" s="360">
        <f>SUMMARY!BT48</f>
        <v>6.4234124334010287</v>
      </c>
      <c r="J45" s="357">
        <f>SUMMARY!BU48</f>
        <v>0</v>
      </c>
      <c r="L45" s="151"/>
    </row>
    <row r="46" spans="1:12" ht="15" thickBot="1" x14ac:dyDescent="0.4">
      <c r="A46" s="174" t="str">
        <f>SUMMARY!B49</f>
        <v>Joshua Cove</v>
      </c>
      <c r="B46" s="175">
        <f>SUMMARY!C49</f>
        <v>42</v>
      </c>
      <c r="C46" s="176">
        <f>SUMMARY!BO49</f>
        <v>90.289900000000003</v>
      </c>
      <c r="D46" s="176">
        <f>SUMMARY!BP49</f>
        <v>6.0114583380876496</v>
      </c>
      <c r="E46" s="177">
        <f>SUMMARY!K49</f>
        <v>1.50024830275334</v>
      </c>
      <c r="F46" s="360">
        <f>SUMMARY!BQ49</f>
        <v>3.86</v>
      </c>
      <c r="G46" s="176">
        <f>SUMMARY!BR49</f>
        <v>1</v>
      </c>
      <c r="H46" s="364">
        <f>SUMMARY!BS49</f>
        <v>2.7167536870131162E-3</v>
      </c>
      <c r="I46" s="360">
        <f>SUMMARY!BT49</f>
        <v>2.186477879575671</v>
      </c>
      <c r="J46" s="357">
        <f>SUMMARY!BU49</f>
        <v>0</v>
      </c>
      <c r="L46" s="151"/>
    </row>
    <row r="47" spans="1:12" ht="15" thickBot="1" x14ac:dyDescent="0.4">
      <c r="A47" s="174" t="str">
        <f>SUMMARY!B50</f>
        <v>Island Bay</v>
      </c>
      <c r="B47" s="175">
        <f>SUMMARY!C50</f>
        <v>43</v>
      </c>
      <c r="C47" s="176">
        <f>SUMMARY!BO50</f>
        <v>31.608699999999999</v>
      </c>
      <c r="D47" s="176">
        <f>SUMMARY!BP50</f>
        <v>1.8936260246712138</v>
      </c>
      <c r="E47" s="177">
        <f>SUMMARY!K50</f>
        <v>1.34684438145194</v>
      </c>
      <c r="F47" s="360">
        <f>SUMMARY!BQ50</f>
        <v>2.79</v>
      </c>
      <c r="G47" s="176">
        <f>SUMMARY!BR50</f>
        <v>0</v>
      </c>
      <c r="H47" s="364">
        <f>SUMMARY!BS50</f>
        <v>2.1093943298403531E-3</v>
      </c>
      <c r="I47" s="360">
        <f>SUMMARY!BT50</f>
        <v>3.5805868436612887</v>
      </c>
      <c r="J47" s="357">
        <f>SUMMARY!BU50</f>
        <v>0</v>
      </c>
      <c r="L47" s="151"/>
    </row>
    <row r="48" spans="1:12" ht="15" thickBot="1" x14ac:dyDescent="0.4">
      <c r="A48" s="174" t="str">
        <f>SUMMARY!B51</f>
        <v>Little Harbor</v>
      </c>
      <c r="B48" s="175">
        <f>SUMMARY!C51</f>
        <v>44</v>
      </c>
      <c r="C48" s="176">
        <f>SUMMARY!BO51</f>
        <v>5.8292000000000002</v>
      </c>
      <c r="D48" s="176">
        <f>SUMMARY!BP51</f>
        <v>2.0510356057263435</v>
      </c>
      <c r="E48" s="177">
        <f>SUMMARY!K51</f>
        <v>0.74997426748095797</v>
      </c>
      <c r="F48" s="360">
        <f>SUMMARY!BQ51</f>
        <v>1.7009000062940001</v>
      </c>
      <c r="G48" s="176">
        <f>SUMMARY!BR51</f>
        <v>0</v>
      </c>
      <c r="H48" s="364">
        <f>SUMMARY!BS51</f>
        <v>2.7094157507023607E-3</v>
      </c>
      <c r="I48" s="360">
        <f>SUMMARY!BT51</f>
        <v>2.9455044484275383</v>
      </c>
      <c r="J48" s="357">
        <f>SUMMARY!BU51</f>
        <v>0</v>
      </c>
      <c r="L48" s="151"/>
    </row>
    <row r="49" spans="1:12" ht="15" thickBot="1" x14ac:dyDescent="0.4">
      <c r="A49" s="174" t="str">
        <f>SUMMARY!B52</f>
        <v>Branford Harbor</v>
      </c>
      <c r="B49" s="175">
        <f>SUMMARY!C52</f>
        <v>45</v>
      </c>
      <c r="C49" s="176">
        <f>SUMMARY!BO52</f>
        <v>270.24900000000002</v>
      </c>
      <c r="D49" s="176">
        <f>SUMMARY!BP52</f>
        <v>21.542202451082151</v>
      </c>
      <c r="E49" s="177">
        <f>SUMMARY!K52</f>
        <v>2.2588392725420499</v>
      </c>
      <c r="F49" s="360">
        <f>SUMMARY!BQ52</f>
        <v>6</v>
      </c>
      <c r="G49" s="176">
        <f>SUMMARY!BR52</f>
        <v>1</v>
      </c>
      <c r="H49" s="364">
        <f>SUMMARY!BS52</f>
        <v>1.1844353956276159E-2</v>
      </c>
      <c r="I49" s="360">
        <f>SUMMARY!BT52</f>
        <v>2.9789397301015494</v>
      </c>
      <c r="J49" s="357">
        <f>SUMMARY!BU52</f>
        <v>41.49635640876361</v>
      </c>
      <c r="L49" s="151"/>
    </row>
    <row r="50" spans="1:12" ht="15" thickBot="1" x14ac:dyDescent="0.4">
      <c r="A50" s="174" t="str">
        <f>SUMMARY!B53</f>
        <v>Pages Cove</v>
      </c>
      <c r="B50" s="175">
        <f>SUMMARY!C53</f>
        <v>46</v>
      </c>
      <c r="C50" s="176">
        <f>SUMMARY!BO53</f>
        <v>7.4175000000000004</v>
      </c>
      <c r="D50" s="176">
        <f>SUMMARY!BP53</f>
        <v>1.5500831347791033</v>
      </c>
      <c r="E50" s="177">
        <f>SUMMARY!K53</f>
        <v>0.75</v>
      </c>
      <c r="F50" s="360">
        <f>SUMMARY!BQ53</f>
        <v>1.2</v>
      </c>
      <c r="G50" s="176">
        <f>SUMMARY!BR53</f>
        <v>0</v>
      </c>
      <c r="H50" s="364">
        <f>SUMMARY!BS53</f>
        <v>4.8646527052969065E-3</v>
      </c>
      <c r="I50" s="360">
        <f>SUMMARY!BT53</f>
        <v>2.8147466335887308</v>
      </c>
      <c r="J50" s="357">
        <f>SUMMARY!BU53</f>
        <v>0</v>
      </c>
      <c r="L50" s="151"/>
    </row>
    <row r="51" spans="1:12" ht="15" thickBot="1" x14ac:dyDescent="0.4">
      <c r="A51" s="174" t="str">
        <f>SUMMARY!B54</f>
        <v>Farm River</v>
      </c>
      <c r="B51" s="175">
        <f>SUMMARY!C54</f>
        <v>47</v>
      </c>
      <c r="C51" s="176">
        <f>SUMMARY!BO54</f>
        <v>42.141800000000003</v>
      </c>
      <c r="D51" s="176">
        <f>SUMMARY!BP54</f>
        <v>49.802322191467852</v>
      </c>
      <c r="E51" s="177">
        <f>SUMMARY!K54</f>
        <v>1.2088700530115</v>
      </c>
      <c r="F51" s="360">
        <f>SUMMARY!BQ54</f>
        <v>5.16</v>
      </c>
      <c r="G51" s="176">
        <f>SUMMARY!BR54</f>
        <v>0</v>
      </c>
      <c r="H51" s="364">
        <f>SUMMARY!BS54</f>
        <v>7.1905581919366565E-2</v>
      </c>
      <c r="I51" s="360">
        <f>SUMMARY!BT54</f>
        <v>2.4278953663800209</v>
      </c>
      <c r="J51" s="357">
        <f>SUMMARY!BU54</f>
        <v>0</v>
      </c>
      <c r="L51" s="151"/>
    </row>
    <row r="52" spans="1:12" ht="15" thickBot="1" x14ac:dyDescent="0.4">
      <c r="A52" s="174" t="str">
        <f>SUMMARY!B55</f>
        <v>New Haven Harbor</v>
      </c>
      <c r="B52" s="175">
        <f>SUMMARY!C55</f>
        <v>48</v>
      </c>
      <c r="C52" s="176">
        <f>SUMMARY!BO55</f>
        <v>3028.9810000000002</v>
      </c>
      <c r="D52" s="176">
        <f>SUMMARY!BP55</f>
        <v>11.813287838916782</v>
      </c>
      <c r="E52" s="177">
        <f>SUMMARY!K55</f>
        <v>3.9284338896020499</v>
      </c>
      <c r="F52" s="360">
        <f>SUMMARY!BQ55</f>
        <v>15.26</v>
      </c>
      <c r="G52" s="176">
        <f>SUMMARY!BR55</f>
        <v>0</v>
      </c>
      <c r="H52" s="364">
        <f>SUMMARY!BS55</f>
        <v>8.4835645998468032E-3</v>
      </c>
      <c r="I52" s="360">
        <f>SUMMARY!BT55</f>
        <v>6.8606847522276189</v>
      </c>
      <c r="J52" s="357">
        <f>SUMMARY!BU55</f>
        <v>66.664944080765551</v>
      </c>
      <c r="L52" s="151"/>
    </row>
    <row r="53" spans="1:12" ht="15" thickBot="1" x14ac:dyDescent="0.4">
      <c r="A53" s="174" t="str">
        <f>SUMMARY!B56</f>
        <v>Oyster River, Milford</v>
      </c>
      <c r="B53" s="175">
        <f>SUMMARY!C56</f>
        <v>49</v>
      </c>
      <c r="C53" s="176">
        <f>SUMMARY!BO56</f>
        <v>3.2101999999999999</v>
      </c>
      <c r="D53" s="176">
        <f>SUMMARY!BP56</f>
        <v>108.97937863858948</v>
      </c>
      <c r="E53" s="177">
        <f>SUMMARY!K56</f>
        <v>0.79985047660581898</v>
      </c>
      <c r="F53" s="360">
        <f>SUMMARY!BQ56</f>
        <v>1.7664999842640001</v>
      </c>
      <c r="G53" s="176">
        <f>SUMMARY!BR56</f>
        <v>0</v>
      </c>
      <c r="H53" s="364">
        <f>SUMMARY!BS56</f>
        <v>0.13895734859353284</v>
      </c>
      <c r="I53" s="360">
        <f>SUMMARY!BT56</f>
        <v>3.9281101699547194</v>
      </c>
      <c r="J53" s="357">
        <f>SUMMARY!BU56</f>
        <v>0</v>
      </c>
      <c r="L53" s="151"/>
    </row>
    <row r="54" spans="1:12" ht="24.5" thickBot="1" x14ac:dyDescent="0.4">
      <c r="A54" s="174" t="str">
        <f>SUMMARY!B57</f>
        <v>Calf Pen Meadow Creek</v>
      </c>
      <c r="B54" s="175">
        <f>SUMMARY!C57</f>
        <v>50</v>
      </c>
      <c r="C54" s="176">
        <f>SUMMARY!BO57</f>
        <v>1.1241000000000001</v>
      </c>
      <c r="D54" s="176">
        <f>SUMMARY!BP57</f>
        <v>112.37440281861046</v>
      </c>
      <c r="E54" s="177">
        <f>SUMMARY!K57</f>
        <v>0.80049817631883302</v>
      </c>
      <c r="F54" s="360">
        <f>SUMMARY!BQ57</f>
        <v>1.8067000389100001</v>
      </c>
      <c r="G54" s="176">
        <f>SUMMARY!BR57</f>
        <v>0</v>
      </c>
      <c r="H54" s="364">
        <f>SUMMARY!BS57</f>
        <v>0.10554136375693048</v>
      </c>
      <c r="I54" s="360">
        <f>SUMMARY!BT57</f>
        <v>3.2801098567429143</v>
      </c>
      <c r="J54" s="357">
        <f>SUMMARY!BU57</f>
        <v>0</v>
      </c>
      <c r="L54" s="151"/>
    </row>
    <row r="55" spans="1:12" ht="15" thickBot="1" x14ac:dyDescent="0.4">
      <c r="A55" s="174" t="str">
        <f>SUMMARY!B58</f>
        <v>Milford Harbor</v>
      </c>
      <c r="B55" s="175">
        <f>SUMMARY!C58</f>
        <v>51</v>
      </c>
      <c r="C55" s="176">
        <f>SUMMARY!BO58</f>
        <v>372.5718</v>
      </c>
      <c r="D55" s="176">
        <f>SUMMARY!BP58</f>
        <v>10.302163604009751</v>
      </c>
      <c r="E55" s="177">
        <f>SUMMARY!K58</f>
        <v>2.5192189843808301</v>
      </c>
      <c r="F55" s="360">
        <f>SUMMARY!BQ58</f>
        <v>6.71</v>
      </c>
      <c r="G55" s="176">
        <f>SUMMARY!BR58</f>
        <v>2</v>
      </c>
      <c r="H55" s="364">
        <f>SUMMARY!BS58</f>
        <v>9.8118637013284056E-3</v>
      </c>
      <c r="I55" s="360">
        <f>SUMMARY!BT58</f>
        <v>3.0396734561858092</v>
      </c>
      <c r="J55" s="357">
        <f>SUMMARY!BU58</f>
        <v>0</v>
      </c>
      <c r="L55" s="151"/>
    </row>
    <row r="56" spans="1:12" x14ac:dyDescent="0.35">
      <c r="A56" s="160" t="str">
        <f>SUMMARY!B60</f>
        <v>Lewis Gut</v>
      </c>
      <c r="B56" s="161">
        <f>SUMMARY!C60</f>
        <v>53</v>
      </c>
      <c r="C56" s="162">
        <f>SUMMARY!BO60</f>
        <v>103.50369999999999</v>
      </c>
      <c r="D56" s="162">
        <f>SUMMARY!BP60</f>
        <v>15.930925849345483</v>
      </c>
      <c r="E56" s="163">
        <f>SUMMARY!K60</f>
        <v>1.09110290785236</v>
      </c>
      <c r="F56" s="352">
        <f>SUMMARY!BQ60</f>
        <v>3.75</v>
      </c>
      <c r="G56" s="162">
        <f>SUMMARY!BR60</f>
        <v>0</v>
      </c>
      <c r="H56" s="353">
        <f>SUMMARY!BS60</f>
        <v>3.4868854102755634E-3</v>
      </c>
      <c r="I56" s="352">
        <f>SUMMARY!BT60</f>
        <v>2.6910301154912433</v>
      </c>
      <c r="J56" s="354">
        <f>SUMMARY!BU60</f>
        <v>0</v>
      </c>
      <c r="L56" s="151"/>
    </row>
    <row r="57" spans="1:12" x14ac:dyDescent="0.35">
      <c r="A57" s="165" t="str">
        <f>SUMMARY!B61</f>
        <v>Bridgeport Harbor</v>
      </c>
      <c r="B57" s="156">
        <f>SUMMARY!C61</f>
        <v>54</v>
      </c>
      <c r="C57" s="157">
        <f>SUMMARY!BO61</f>
        <v>247.75919999999999</v>
      </c>
      <c r="D57" s="157">
        <f>SUMMARY!BP61</f>
        <v>5.7171814534600536</v>
      </c>
      <c r="E57" s="158">
        <f>SUMMARY!K61</f>
        <v>4.3437810811956696</v>
      </c>
      <c r="F57" s="358">
        <f>SUMMARY!BQ61</f>
        <v>15.34</v>
      </c>
      <c r="G57" s="157">
        <f>SUMMARY!BR61</f>
        <v>0</v>
      </c>
      <c r="H57" s="362">
        <f>SUMMARY!BS61</f>
        <v>3.4618786413861104E-2</v>
      </c>
      <c r="I57" s="358">
        <f>SUMMARY!BT61</f>
        <v>3.2606689868559409</v>
      </c>
      <c r="J57" s="355">
        <f>SUMMARY!BU61</f>
        <v>30.797167159745996</v>
      </c>
      <c r="L57" s="151"/>
    </row>
    <row r="58" spans="1:12" x14ac:dyDescent="0.35">
      <c r="A58" s="165" t="str">
        <f>SUMMARY!B62</f>
        <v>Pequonnock River</v>
      </c>
      <c r="B58" s="156">
        <f>SUMMARY!C62</f>
        <v>55</v>
      </c>
      <c r="C58" s="157">
        <f>SUMMARY!BO62</f>
        <v>20.183199999999999</v>
      </c>
      <c r="D58" s="157">
        <f>SUMMARY!BP62</f>
        <v>38.721231862266642</v>
      </c>
      <c r="E58" s="158">
        <f>SUMMARY!K62</f>
        <v>0.84996630861310396</v>
      </c>
      <c r="F58" s="358">
        <f>SUMMARY!BQ62</f>
        <v>1.97</v>
      </c>
      <c r="G58" s="157">
        <f>SUMMARY!BR62</f>
        <v>0</v>
      </c>
      <c r="H58" s="362">
        <f>SUMMARY!BS62</f>
        <v>0.17270118473732457</v>
      </c>
      <c r="I58" s="358">
        <f>SUMMARY!BT62</f>
        <v>4.0497831892452796</v>
      </c>
      <c r="J58" s="355">
        <f>SUMMARY!BU62</f>
        <v>52.131167274356841</v>
      </c>
      <c r="L58" s="151"/>
    </row>
    <row r="59" spans="1:12" ht="36.5" thickBot="1" x14ac:dyDescent="0.4">
      <c r="A59" s="167" t="str">
        <f>SUMMARY!B63</f>
        <v>Lewis Gut + Bridgeport H. + Pequonnock R.</v>
      </c>
      <c r="B59" s="168" t="str">
        <f>SUMMARY!C63</f>
        <v>53-54-55</v>
      </c>
      <c r="C59" s="169">
        <f>SUMMARY!BO63</f>
        <v>371.4461</v>
      </c>
      <c r="D59" s="169">
        <f>SUMMARY!BP63</f>
        <v>30.362814453771083</v>
      </c>
      <c r="E59" s="170">
        <f>SUMMARY!K63</f>
        <v>3.2475773838940629</v>
      </c>
      <c r="F59" s="359">
        <f>SUMMARY!BQ63</f>
        <v>15.34</v>
      </c>
      <c r="G59" s="169">
        <f>SUMMARY!BR63</f>
        <v>0</v>
      </c>
      <c r="H59" s="363">
        <f>SUMMARY!BS63</f>
        <v>2.2361878386665982E-2</v>
      </c>
      <c r="I59" s="359">
        <f>SUMMARY!BT63</f>
        <v>3.2997605460424873</v>
      </c>
      <c r="J59" s="356">
        <f>SUMMARY!BU63</f>
        <v>30.797167159745996</v>
      </c>
      <c r="L59" s="151"/>
    </row>
    <row r="60" spans="1:12" ht="15" thickBot="1" x14ac:dyDescent="0.4">
      <c r="A60" s="174" t="str">
        <f>SUMMARY!B64</f>
        <v>Black Rock Harbor</v>
      </c>
      <c r="B60" s="175">
        <f>SUMMARY!C64</f>
        <v>56</v>
      </c>
      <c r="C60" s="176">
        <f>SUMMARY!BO64</f>
        <v>111.0912</v>
      </c>
      <c r="D60" s="176">
        <f>SUMMARY!BP64</f>
        <v>9.9490326154546906</v>
      </c>
      <c r="E60" s="177">
        <f>SUMMARY!K64</f>
        <v>1.8825430560013501</v>
      </c>
      <c r="F60" s="360">
        <f>SUMMARY!BQ64</f>
        <v>8.36</v>
      </c>
      <c r="G60" s="176">
        <f>SUMMARY!BR64</f>
        <v>0</v>
      </c>
      <c r="H60" s="364">
        <f>SUMMARY!BS64</f>
        <v>1.9248488548890734E-3</v>
      </c>
      <c r="I60" s="360">
        <f>SUMMARY!BT64</f>
        <v>262.46003001901079</v>
      </c>
      <c r="J60" s="357">
        <f>SUMMARY!BU64</f>
        <v>98.513110665675569</v>
      </c>
      <c r="L60" s="151"/>
    </row>
    <row r="61" spans="1:12" ht="15" thickBot="1" x14ac:dyDescent="0.4">
      <c r="A61" s="174" t="str">
        <f>SUMMARY!B65</f>
        <v>Ash Creek</v>
      </c>
      <c r="B61" s="175">
        <f>SUMMARY!C65</f>
        <v>57</v>
      </c>
      <c r="C61" s="176">
        <f>SUMMARY!BO65</f>
        <v>39.430100000000003</v>
      </c>
      <c r="D61" s="176">
        <f>SUMMARY!BP65</f>
        <v>35.831254017030133</v>
      </c>
      <c r="E61" s="177">
        <f>SUMMARY!K65</f>
        <v>0.84999353285941504</v>
      </c>
      <c r="F61" s="360">
        <f>SUMMARY!BQ65</f>
        <v>1.8759999752000001</v>
      </c>
      <c r="G61" s="176">
        <f>SUMMARY!BR65</f>
        <v>2</v>
      </c>
      <c r="H61" s="364">
        <f>SUMMARY!BS65</f>
        <v>2.9895581129148738E-2</v>
      </c>
      <c r="I61" s="360">
        <f>SUMMARY!BT65</f>
        <v>2.2919833000612071</v>
      </c>
      <c r="J61" s="357">
        <f>SUMMARY!BU65</f>
        <v>0</v>
      </c>
      <c r="L61" s="151"/>
    </row>
    <row r="62" spans="1:12" ht="15" thickBot="1" x14ac:dyDescent="0.4">
      <c r="A62" s="174" t="str">
        <f>SUMMARY!B66</f>
        <v>Pine Creek</v>
      </c>
      <c r="B62" s="175">
        <f>SUMMARY!C66</f>
        <v>58</v>
      </c>
      <c r="C62" s="176">
        <f>SUMMARY!BO66</f>
        <v>10.8165</v>
      </c>
      <c r="D62" s="176">
        <f>SUMMARY!BP66</f>
        <v>98.195434116627368</v>
      </c>
      <c r="E62" s="177">
        <f>SUMMARY!K66</f>
        <v>0.850047150187214</v>
      </c>
      <c r="F62" s="360">
        <f>SUMMARY!BQ66</f>
        <v>1.88850002289</v>
      </c>
      <c r="G62" s="176">
        <f>SUMMARY!BR66</f>
        <v>2</v>
      </c>
      <c r="H62" s="364">
        <f>SUMMARY!BS66</f>
        <v>2.1769373278678807E-2</v>
      </c>
      <c r="I62" s="360">
        <f>SUMMARY!BT66</f>
        <v>3.1798174316477925</v>
      </c>
      <c r="J62" s="357">
        <f>SUMMARY!BU66</f>
        <v>0</v>
      </c>
      <c r="L62" s="151"/>
    </row>
    <row r="63" spans="1:12" ht="15" thickBot="1" x14ac:dyDescent="0.4">
      <c r="A63" s="174" t="str">
        <f>SUMMARY!B67</f>
        <v>Mill River</v>
      </c>
      <c r="B63" s="175">
        <f>SUMMARY!C67</f>
        <v>59</v>
      </c>
      <c r="C63" s="176">
        <f>SUMMARY!BO67</f>
        <v>26.385200000000001</v>
      </c>
      <c r="D63" s="176">
        <f>SUMMARY!BP67</f>
        <v>35.642327097952645</v>
      </c>
      <c r="E63" s="177">
        <f>SUMMARY!K67</f>
        <v>0.85001610751481904</v>
      </c>
      <c r="F63" s="360">
        <f>SUMMARY!BQ67</f>
        <v>1.5</v>
      </c>
      <c r="G63" s="176">
        <f>SUMMARY!BR67</f>
        <v>2</v>
      </c>
      <c r="H63" s="364">
        <f>SUMMARY!BS67</f>
        <v>0.12857339872777321</v>
      </c>
      <c r="I63" s="360">
        <f>SUMMARY!BT67</f>
        <v>1.7149729337851458</v>
      </c>
      <c r="J63" s="357">
        <f>SUMMARY!BU67</f>
        <v>0</v>
      </c>
      <c r="L63" s="151"/>
    </row>
    <row r="64" spans="1:12" ht="15" thickBot="1" x14ac:dyDescent="0.4">
      <c r="A64" s="174" t="str">
        <f>SUMMARY!B68</f>
        <v>Sasco Brook</v>
      </c>
      <c r="B64" s="175">
        <f>SUMMARY!C68</f>
        <v>60</v>
      </c>
      <c r="C64" s="176">
        <f>SUMMARY!BO68</f>
        <v>5.4497</v>
      </c>
      <c r="D64" s="176">
        <f>SUMMARY!BP68</f>
        <v>55.726555535919417</v>
      </c>
      <c r="E64" s="177">
        <f>SUMMARY!K68</f>
        <v>0.85007798594418105</v>
      </c>
      <c r="F64" s="360">
        <f>SUMMARY!BQ68</f>
        <v>1.90469996929</v>
      </c>
      <c r="G64" s="176">
        <f>SUMMARY!BR68</f>
        <v>0</v>
      </c>
      <c r="H64" s="364">
        <f>SUMMARY!BS68</f>
        <v>0.17722209650132434</v>
      </c>
      <c r="I64" s="360">
        <f>SUMMARY!BT68</f>
        <v>2.101889294301134</v>
      </c>
      <c r="J64" s="357">
        <f>SUMMARY!BU68</f>
        <v>0</v>
      </c>
      <c r="L64" s="151"/>
    </row>
    <row r="65" spans="1:12" x14ac:dyDescent="0.35">
      <c r="A65" s="160" t="str">
        <f>SUMMARY!B69</f>
        <v>Sherwood Millpond</v>
      </c>
      <c r="B65" s="161">
        <f>SUMMARY!C69</f>
        <v>61</v>
      </c>
      <c r="C65" s="162">
        <f>SUMMARY!BO69</f>
        <v>43.109299999999998</v>
      </c>
      <c r="D65" s="162">
        <f>SUMMARY!BP69</f>
        <v>22.657901209892064</v>
      </c>
      <c r="E65" s="163">
        <f>SUMMARY!K69</f>
        <v>0.84998619787377705</v>
      </c>
      <c r="F65" s="352">
        <f>SUMMARY!BQ69</f>
        <v>1.90469996929</v>
      </c>
      <c r="G65" s="162">
        <f>SUMMARY!BR69</f>
        <v>1</v>
      </c>
      <c r="H65" s="353">
        <f>SUMMARY!BS69</f>
        <v>1.3521017077364314E-2</v>
      </c>
      <c r="I65" s="352">
        <f>SUMMARY!BT69</f>
        <v>5.1230753378142104</v>
      </c>
      <c r="J65" s="354">
        <f>SUMMARY!BU69</f>
        <v>0</v>
      </c>
      <c r="L65" s="151"/>
    </row>
    <row r="66" spans="1:12" x14ac:dyDescent="0.35">
      <c r="A66" s="165" t="str">
        <f>SUMMARY!B70</f>
        <v>Compo Cove</v>
      </c>
      <c r="B66" s="156">
        <f>SUMMARY!C70</f>
        <v>62</v>
      </c>
      <c r="C66" s="157">
        <f>SUMMARY!BO70</f>
        <v>19.166799999999999</v>
      </c>
      <c r="D66" s="157">
        <f>SUMMARY!BP70</f>
        <v>1.8440784064073814</v>
      </c>
      <c r="E66" s="158">
        <f>SUMMARY!K70</f>
        <v>0.85003104326230805</v>
      </c>
      <c r="F66" s="358">
        <f>SUMMARY!BQ70</f>
        <v>1.4</v>
      </c>
      <c r="G66" s="157">
        <f>SUMMARY!BR70</f>
        <v>0</v>
      </c>
      <c r="H66" s="362">
        <f>SUMMARY!BS70</f>
        <v>3.085215320110745E-2</v>
      </c>
      <c r="I66" s="358">
        <f>SUMMARY!BT70</f>
        <v>5.1088909123247426</v>
      </c>
      <c r="J66" s="355">
        <f>SUMMARY!BU70</f>
        <v>0</v>
      </c>
      <c r="L66" s="151"/>
    </row>
    <row r="67" spans="1:12" ht="24.5" thickBot="1" x14ac:dyDescent="0.4">
      <c r="A67" s="167" t="str">
        <f>SUMMARY!B71</f>
        <v>Sherwood Millpond + Compo Cove</v>
      </c>
      <c r="B67" s="168" t="str">
        <f>SUMMARY!C71</f>
        <v>61-62</v>
      </c>
      <c r="C67" s="169">
        <f>SUMMARY!BO71</f>
        <v>62.2761</v>
      </c>
      <c r="D67" s="169">
        <f>SUMMARY!BP71</f>
        <v>22.219172646576919</v>
      </c>
      <c r="E67" s="170">
        <f>SUMMARY!K71</f>
        <v>0.85000000000000031</v>
      </c>
      <c r="F67" s="359">
        <f>SUMMARY!BQ71</f>
        <v>1.90469996929</v>
      </c>
      <c r="G67" s="169">
        <f>SUMMARY!BR71</f>
        <v>2</v>
      </c>
      <c r="H67" s="363">
        <f>SUMMARY!BS71</f>
        <v>9.4954091533507451E-3</v>
      </c>
      <c r="I67" s="359">
        <f>SUMMARY!BT71</f>
        <v>5.2169738957569685</v>
      </c>
      <c r="J67" s="356">
        <f>SUMMARY!BU71</f>
        <v>0</v>
      </c>
      <c r="L67" s="151"/>
    </row>
    <row r="68" spans="1:12" ht="15" thickBot="1" x14ac:dyDescent="0.4">
      <c r="A68" s="174" t="str">
        <f>SUMMARY!B73</f>
        <v>Saugatuck River</v>
      </c>
      <c r="B68" s="175">
        <f>SUMMARY!C73</f>
        <v>64</v>
      </c>
      <c r="C68" s="176">
        <f>SUMMARY!BO73</f>
        <v>249.7672</v>
      </c>
      <c r="D68" s="176">
        <f>SUMMARY!BP73</f>
        <v>16.410896043925703</v>
      </c>
      <c r="E68" s="177">
        <f>SUMMARY!K73</f>
        <v>2.5197247706421999</v>
      </c>
      <c r="F68" s="360">
        <f>SUMMARY!BQ73</f>
        <v>9.92</v>
      </c>
      <c r="G68" s="176">
        <f>SUMMARY!BR73</f>
        <v>0</v>
      </c>
      <c r="H68" s="364">
        <f>SUMMARY!BS73</f>
        <v>3.4256192559547614E-2</v>
      </c>
      <c r="I68" s="360">
        <f>SUMMARY!BT73</f>
        <v>2.2353546359452592</v>
      </c>
      <c r="J68" s="357">
        <f>SUMMARY!BU73</f>
        <v>5.7900516404899616</v>
      </c>
      <c r="L68" s="151"/>
    </row>
    <row r="69" spans="1:12" ht="15" thickBot="1" x14ac:dyDescent="0.4">
      <c r="A69" s="174" t="str">
        <f>SUMMARY!B74</f>
        <v>Cockenoe Harbor</v>
      </c>
      <c r="B69" s="175">
        <f>SUMMARY!C74</f>
        <v>65</v>
      </c>
      <c r="C69" s="176">
        <f>SUMMARY!BO74</f>
        <v>40.945300000000003</v>
      </c>
      <c r="D69" s="176">
        <f>SUMMARY!BP74</f>
        <v>10.286175545266492</v>
      </c>
      <c r="E69" s="177">
        <f>SUMMARY!K74</f>
        <v>1.46460570566097</v>
      </c>
      <c r="F69" s="360">
        <f>SUMMARY!BQ74</f>
        <v>5.0199999999999996</v>
      </c>
      <c r="G69" s="176">
        <f>SUMMARY!BR74</f>
        <v>2</v>
      </c>
      <c r="H69" s="364">
        <f>SUMMARY!BS74</f>
        <v>1.3372603550351686E-3</v>
      </c>
      <c r="I69" s="360">
        <f>SUMMARY!BT74</f>
        <v>6.5012344758362026</v>
      </c>
      <c r="J69" s="357">
        <f>SUMMARY!BU74</f>
        <v>0</v>
      </c>
      <c r="L69" s="151"/>
    </row>
    <row r="70" spans="1:12" ht="15" thickBot="1" x14ac:dyDescent="0.4">
      <c r="A70" s="174" t="str">
        <f>SUMMARY!B75</f>
        <v>Norwalk Harbor</v>
      </c>
      <c r="B70" s="175">
        <f>SUMMARY!C75</f>
        <v>66</v>
      </c>
      <c r="C70" s="176">
        <f>SUMMARY!BO75</f>
        <v>685.07920000000001</v>
      </c>
      <c r="D70" s="176">
        <f>SUMMARY!BP75</f>
        <v>3.8900343527749777</v>
      </c>
      <c r="E70" s="177">
        <f>SUMMARY!K75</f>
        <v>2.1783541614936301</v>
      </c>
      <c r="F70" s="360">
        <f>SUMMARY!BQ75</f>
        <v>12.93</v>
      </c>
      <c r="G70" s="176">
        <f>SUMMARY!BR75</f>
        <v>0</v>
      </c>
      <c r="H70" s="364">
        <f>SUMMARY!BS75</f>
        <v>8.5798719259166933E-3</v>
      </c>
      <c r="I70" s="360">
        <f>SUMMARY!BT75</f>
        <v>5.9156734043351014</v>
      </c>
      <c r="J70" s="357">
        <f>SUMMARY!BU75</f>
        <v>67.423635674285038</v>
      </c>
      <c r="L70" s="151"/>
    </row>
    <row r="71" spans="1:12" ht="24.5" thickBot="1" x14ac:dyDescent="0.4">
      <c r="A71" s="174" t="str">
        <f>SUMMARY!B76</f>
        <v>Sheffield Island Harbor</v>
      </c>
      <c r="B71" s="175">
        <f>SUMMARY!C76</f>
        <v>67</v>
      </c>
      <c r="C71" s="176">
        <f>SUMMARY!BO76</f>
        <v>38.889600000000002</v>
      </c>
      <c r="D71" s="176">
        <f>SUMMARY!BP76</f>
        <v>2.6898680582983623</v>
      </c>
      <c r="E71" s="177">
        <f>SUMMARY!K76</f>
        <v>1.3977047848267901</v>
      </c>
      <c r="F71" s="360">
        <f>SUMMARY!BQ76</f>
        <v>2.63</v>
      </c>
      <c r="G71" s="176">
        <f>SUMMARY!BR76</f>
        <v>0</v>
      </c>
      <c r="H71" s="364">
        <f>SUMMARY!BS76</f>
        <v>4.1223428239004697E-3</v>
      </c>
      <c r="I71" s="360">
        <f>SUMMARY!BT76</f>
        <v>2.2622227523789005</v>
      </c>
      <c r="J71" s="357">
        <f>SUMMARY!BU76</f>
        <v>0</v>
      </c>
      <c r="L71" s="151"/>
    </row>
    <row r="72" spans="1:12" ht="15" thickBot="1" x14ac:dyDescent="0.4">
      <c r="A72" s="174" t="str">
        <f>SUMMARY!B77</f>
        <v>Five Mile River</v>
      </c>
      <c r="B72" s="175">
        <f>SUMMARY!C77</f>
        <v>68</v>
      </c>
      <c r="C72" s="176">
        <f>SUMMARY!BO77</f>
        <v>42.517499999999998</v>
      </c>
      <c r="D72" s="176">
        <f>SUMMARY!BP77</f>
        <v>9.6596714656223899</v>
      </c>
      <c r="E72" s="177">
        <f>SUMMARY!K77</f>
        <v>1.26505168460046</v>
      </c>
      <c r="F72" s="360">
        <f>SUMMARY!BQ77</f>
        <v>2.97</v>
      </c>
      <c r="G72" s="176">
        <f>SUMMARY!BR77</f>
        <v>0</v>
      </c>
      <c r="H72" s="364">
        <f>SUMMARY!BS77</f>
        <v>2.871324836202516E-2</v>
      </c>
      <c r="I72" s="360">
        <f>SUMMARY!BT77</f>
        <v>2.6514476371732387</v>
      </c>
      <c r="J72" s="357">
        <f>SUMMARY!BU77</f>
        <v>20.609980217923127</v>
      </c>
      <c r="L72" s="151"/>
    </row>
    <row r="73" spans="1:12" ht="15" thickBot="1" x14ac:dyDescent="0.4">
      <c r="A73" s="174" t="str">
        <f>SUMMARY!B78</f>
        <v>Scotts Cove</v>
      </c>
      <c r="B73" s="175">
        <f>SUMMARY!C78</f>
        <v>69</v>
      </c>
      <c r="C73" s="176">
        <f>SUMMARY!BO78</f>
        <v>82.931899999999999</v>
      </c>
      <c r="D73" s="176">
        <f>SUMMARY!BP78</f>
        <v>7.4966008023884658</v>
      </c>
      <c r="E73" s="177">
        <f>SUMMARY!K78</f>
        <v>1.25520896217782</v>
      </c>
      <c r="F73" s="360">
        <f>SUMMARY!BQ78</f>
        <v>4.1500000000000004</v>
      </c>
      <c r="G73" s="176">
        <f>SUMMARY!BR78</f>
        <v>0</v>
      </c>
      <c r="H73" s="364">
        <f>SUMMARY!BS78</f>
        <v>1.598565141505879E-3</v>
      </c>
      <c r="I73" s="360">
        <f>SUMMARY!BT78</f>
        <v>5.249884420885734</v>
      </c>
      <c r="J73" s="357">
        <f>SUMMARY!BU78</f>
        <v>0</v>
      </c>
      <c r="L73" s="151"/>
    </row>
    <row r="74" spans="1:12" x14ac:dyDescent="0.35">
      <c r="A74" s="160" t="str">
        <f>SUMMARY!B79</f>
        <v>Gorham Pond</v>
      </c>
      <c r="B74" s="161">
        <f>SUMMARY!C79</f>
        <v>70</v>
      </c>
      <c r="C74" s="162">
        <f>SUMMARY!BO79</f>
        <v>10.4162</v>
      </c>
      <c r="D74" s="162">
        <f>SUMMARY!BP79</f>
        <v>15.292636040360208</v>
      </c>
      <c r="E74" s="163">
        <f>SUMMARY!K79</f>
        <v>0.84997551890324696</v>
      </c>
      <c r="F74" s="352">
        <f>SUMMARY!BQ79</f>
        <v>1.93979995251</v>
      </c>
      <c r="G74" s="162">
        <f>SUMMARY!BR79</f>
        <v>3</v>
      </c>
      <c r="H74" s="353">
        <f>SUMMARY!BS79</f>
        <v>6.2462042922612294E-2</v>
      </c>
      <c r="I74" s="352">
        <f>SUMMARY!BT79</f>
        <v>2.8502447749251734</v>
      </c>
      <c r="J74" s="354">
        <f>SUMMARY!BU79</f>
        <v>0</v>
      </c>
      <c r="L74" s="151"/>
    </row>
    <row r="75" spans="1:12" x14ac:dyDescent="0.35">
      <c r="A75" s="165" t="str">
        <f>SUMMARY!B80</f>
        <v>Darien River</v>
      </c>
      <c r="B75" s="156">
        <f>SUMMARY!C80</f>
        <v>71</v>
      </c>
      <c r="C75" s="157">
        <f>SUMMARY!BO80</f>
        <v>62.846200000000003</v>
      </c>
      <c r="D75" s="157">
        <f>SUMMARY!BP80</f>
        <v>6.8171379338193887</v>
      </c>
      <c r="E75" s="158">
        <f>SUMMARY!K80</f>
        <v>1.8940282911213999</v>
      </c>
      <c r="F75" s="358">
        <f>SUMMARY!BQ80</f>
        <v>4.38</v>
      </c>
      <c r="G75" s="157">
        <f>SUMMARY!BR80</f>
        <v>0</v>
      </c>
      <c r="H75" s="362">
        <f>SUMMARY!BS80</f>
        <v>1.1728822997330449E-2</v>
      </c>
      <c r="I75" s="358">
        <f>SUMMARY!BT80</f>
        <v>3.3534167489889262</v>
      </c>
      <c r="J75" s="355">
        <f>SUMMARY!BU80</f>
        <v>0</v>
      </c>
      <c r="L75" s="151"/>
    </row>
    <row r="76" spans="1:12" ht="24.5" thickBot="1" x14ac:dyDescent="0.4">
      <c r="A76" s="167" t="str">
        <f>SUMMARY!B81</f>
        <v>Gorham Pond + Darien River</v>
      </c>
      <c r="B76" s="168" t="str">
        <f>SUMMARY!C81</f>
        <v>70-71</v>
      </c>
      <c r="C76" s="169">
        <f>SUMMARY!BO81</f>
        <v>73.2624</v>
      </c>
      <c r="D76" s="169">
        <f>SUMMARY!BP81</f>
        <v>15.153727010439187</v>
      </c>
      <c r="E76" s="170">
        <f>SUMMARY!K81</f>
        <v>1.7455884026386486</v>
      </c>
      <c r="F76" s="359">
        <f>SUMMARY!BQ81</f>
        <v>4.38</v>
      </c>
      <c r="G76" s="169">
        <f>SUMMARY!BR81</f>
        <v>2</v>
      </c>
      <c r="H76" s="363">
        <f>SUMMARY!BS81</f>
        <v>1.0061258651843631E-2</v>
      </c>
      <c r="I76" s="359">
        <f>SUMMARY!BT81</f>
        <v>3.3589530846896305</v>
      </c>
      <c r="J76" s="356">
        <f>SUMMARY!BU81</f>
        <v>0</v>
      </c>
      <c r="L76" s="151"/>
    </row>
    <row r="77" spans="1:12" x14ac:dyDescent="0.35">
      <c r="A77" s="160" t="str">
        <f>SUMMARY!B82</f>
        <v>Holly Pond</v>
      </c>
      <c r="B77" s="161">
        <f>SUMMARY!C82</f>
        <v>72</v>
      </c>
      <c r="C77" s="162">
        <f>SUMMARY!BO82</f>
        <v>79.081000000000003</v>
      </c>
      <c r="D77" s="162">
        <f>SUMMARY!BP82</f>
        <v>3.4922323232584316</v>
      </c>
      <c r="E77" s="163">
        <f>SUMMARY!K82</f>
        <v>0.90000227614724104</v>
      </c>
      <c r="F77" s="352">
        <f>SUMMARY!BQ82</f>
        <v>1.96779994965</v>
      </c>
      <c r="G77" s="162">
        <f>SUMMARY!BR82</f>
        <v>3</v>
      </c>
      <c r="H77" s="353">
        <f>SUMMARY!BS82</f>
        <v>1.455626997182698E-2</v>
      </c>
      <c r="I77" s="352">
        <f>SUMMARY!BT82</f>
        <v>2.7927050008865</v>
      </c>
      <c r="J77" s="354">
        <f>SUMMARY!BU82</f>
        <v>0</v>
      </c>
      <c r="L77" s="151"/>
    </row>
    <row r="78" spans="1:12" x14ac:dyDescent="0.35">
      <c r="A78" s="165" t="str">
        <f>SUMMARY!B83</f>
        <v>Cove Harbor</v>
      </c>
      <c r="B78" s="156">
        <f>SUMMARY!C83</f>
        <v>73</v>
      </c>
      <c r="C78" s="157">
        <f>SUMMARY!BO83</f>
        <v>128.37739999999999</v>
      </c>
      <c r="D78" s="157">
        <f>SUMMARY!BP83</f>
        <v>1.4050211181251528</v>
      </c>
      <c r="E78" s="158">
        <f>SUMMARY!K83</f>
        <v>2.65491803278689</v>
      </c>
      <c r="F78" s="358">
        <f>SUMMARY!BQ83</f>
        <v>4.74</v>
      </c>
      <c r="G78" s="157">
        <f>SUMMARY!BR83</f>
        <v>0</v>
      </c>
      <c r="H78" s="362">
        <f>SUMMARY!BS83</f>
        <v>9.4493467027838389E-3</v>
      </c>
      <c r="I78" s="358">
        <f>SUMMARY!BT83</f>
        <v>3.0746924731554426</v>
      </c>
      <c r="J78" s="355">
        <f>SUMMARY!BU83</f>
        <v>0</v>
      </c>
      <c r="L78" s="151"/>
    </row>
    <row r="79" spans="1:12" ht="24.5" thickBot="1" x14ac:dyDescent="0.4">
      <c r="A79" s="167" t="str">
        <f>SUMMARY!B84</f>
        <v>Holly Pond + Cove Harbor</v>
      </c>
      <c r="B79" s="168" t="str">
        <f>SUMMARY!C84</f>
        <v>72-73</v>
      </c>
      <c r="C79" s="169">
        <f>SUMMARY!BO84</f>
        <v>207.45840000000001</v>
      </c>
      <c r="D79" s="169">
        <f>SUMMARY!BP84</f>
        <v>4.3522979346683481</v>
      </c>
      <c r="E79" s="170">
        <f>SUMMARY!K84</f>
        <v>1.9859622664702692</v>
      </c>
      <c r="F79" s="359">
        <f>SUMMARY!BQ84</f>
        <v>4.74</v>
      </c>
      <c r="G79" s="169">
        <f>SUMMARY!BR84</f>
        <v>2</v>
      </c>
      <c r="H79" s="363">
        <f>SUMMARY!BS84</f>
        <v>5.8473533074677245E-3</v>
      </c>
      <c r="I79" s="359">
        <f>SUMMARY!BT84</f>
        <v>3.0857031120406742</v>
      </c>
      <c r="J79" s="356">
        <f>SUMMARY!BU84</f>
        <v>0</v>
      </c>
      <c r="L79" s="151"/>
    </row>
    <row r="80" spans="1:12" ht="15" thickBot="1" x14ac:dyDescent="0.4">
      <c r="A80" s="174" t="str">
        <f>SUMMARY!B85</f>
        <v>Wescott Cove</v>
      </c>
      <c r="B80" s="175">
        <f>SUMMARY!C85</f>
        <v>74</v>
      </c>
      <c r="C80" s="176">
        <f>SUMMARY!BO85</f>
        <v>113.3856</v>
      </c>
      <c r="D80" s="176">
        <f>SUMMARY!BP85</f>
        <v>2.485052110324415</v>
      </c>
      <c r="E80" s="177">
        <f>SUMMARY!K85</f>
        <v>2.12843137254902</v>
      </c>
      <c r="F80" s="360">
        <f>SUMMARY!BQ85</f>
        <v>3.85</v>
      </c>
      <c r="G80" s="176">
        <f>SUMMARY!BR85</f>
        <v>0</v>
      </c>
      <c r="H80" s="364">
        <f>SUMMARY!BS85</f>
        <v>6.6646426708862191E-4</v>
      </c>
      <c r="I80" s="360">
        <f>SUMMARY!BT85</f>
        <v>7.7330099180843934</v>
      </c>
      <c r="J80" s="357">
        <f>SUMMARY!BU85</f>
        <v>0</v>
      </c>
      <c r="L80" s="151"/>
    </row>
    <row r="81" spans="1:12" ht="15" thickBot="1" x14ac:dyDescent="0.4">
      <c r="A81" s="174" t="str">
        <f>SUMMARY!B86</f>
        <v>Stamford Harbor</v>
      </c>
      <c r="B81" s="175">
        <f>SUMMARY!C86</f>
        <v>75</v>
      </c>
      <c r="C81" s="176">
        <f>SUMMARY!BO86</f>
        <v>310.41339101789998</v>
      </c>
      <c r="D81" s="176">
        <f>SUMMARY!BP86</f>
        <v>5.4195496077763936</v>
      </c>
      <c r="E81" s="177">
        <f>SUMMARY!K86</f>
        <v>2.6267745825911102</v>
      </c>
      <c r="F81" s="360">
        <f>SUMMARY!BQ86</f>
        <v>7.86</v>
      </c>
      <c r="G81" s="176">
        <f>SUMMARY!BR86</f>
        <v>2</v>
      </c>
      <c r="H81" s="364">
        <f>SUMMARY!BS86</f>
        <v>9.4696666516562202E-3</v>
      </c>
      <c r="I81" s="360">
        <f>SUMMARY!BT86</f>
        <v>6.3018851460032064</v>
      </c>
      <c r="J81" s="357">
        <f>SUMMARY!BU86</f>
        <v>49.931909438436357</v>
      </c>
      <c r="L81" s="151"/>
    </row>
    <row r="82" spans="1:12" ht="15" thickBot="1" x14ac:dyDescent="0.4">
      <c r="A82" s="174" t="str">
        <f>SUMMARY!B87</f>
        <v>Greenwich Cove</v>
      </c>
      <c r="B82" s="175">
        <f>SUMMARY!C87</f>
        <v>76</v>
      </c>
      <c r="C82" s="176">
        <f>SUMMARY!BO87</f>
        <v>217.33709999999999</v>
      </c>
      <c r="D82" s="176">
        <f>SUMMARY!BP87</f>
        <v>4.5510670246547882</v>
      </c>
      <c r="E82" s="177">
        <f>SUMMARY!K87</f>
        <v>1.6886846956705901</v>
      </c>
      <c r="F82" s="360">
        <f>SUMMARY!BQ87</f>
        <v>5.36</v>
      </c>
      <c r="G82" s="176">
        <f>SUMMARY!BR87</f>
        <v>0</v>
      </c>
      <c r="H82" s="364">
        <f>SUMMARY!BS87</f>
        <v>8.6398051344717982E-4</v>
      </c>
      <c r="I82" s="360">
        <f>SUMMARY!BT87</f>
        <v>5.4083550023782836</v>
      </c>
      <c r="J82" s="357">
        <f>SUMMARY!BU87</f>
        <v>0</v>
      </c>
      <c r="L82" s="151"/>
    </row>
    <row r="83" spans="1:12" ht="15" thickBot="1" x14ac:dyDescent="0.4">
      <c r="A83" s="174" t="str">
        <f>SUMMARY!B88</f>
        <v>Mianus River</v>
      </c>
      <c r="B83" s="175">
        <f>SUMMARY!C88</f>
        <v>77</v>
      </c>
      <c r="C83" s="176">
        <f>SUMMARY!BO88</f>
        <v>179.06039999999999</v>
      </c>
      <c r="D83" s="176">
        <f>SUMMARY!BP88</f>
        <v>7.2165860377978595</v>
      </c>
      <c r="E83" s="177">
        <f>SUMMARY!K88</f>
        <v>1.71892979658904</v>
      </c>
      <c r="F83" s="360">
        <f>SUMMARY!BQ88</f>
        <v>5.96</v>
      </c>
      <c r="G83" s="176">
        <f>SUMMARY!BR88</f>
        <v>0</v>
      </c>
      <c r="H83" s="364">
        <f>SUMMARY!BS88</f>
        <v>1.8520702502343223E-2</v>
      </c>
      <c r="I83" s="360">
        <f>SUMMARY!BT88</f>
        <v>1.8561297752020087</v>
      </c>
      <c r="J83" s="357">
        <f>SUMMARY!BU88</f>
        <v>0</v>
      </c>
      <c r="L83" s="151"/>
    </row>
    <row r="84" spans="1:12" ht="15" thickBot="1" x14ac:dyDescent="0.4">
      <c r="A84" s="174" t="str">
        <f>SUMMARY!B89</f>
        <v>Indian Harbor</v>
      </c>
      <c r="B84" s="175">
        <f>SUMMARY!C89</f>
        <v>78</v>
      </c>
      <c r="C84" s="176">
        <f>SUMMARY!BO89</f>
        <v>23.3186</v>
      </c>
      <c r="D84" s="176">
        <f>SUMMARY!BP89</f>
        <v>5.8099866091617844</v>
      </c>
      <c r="E84" s="177">
        <f>SUMMARY!K89</f>
        <v>2.1142857142857099</v>
      </c>
      <c r="F84" s="360">
        <f>SUMMARY!BQ89</f>
        <v>3.86</v>
      </c>
      <c r="G84" s="176">
        <f>SUMMARY!BR89</f>
        <v>0</v>
      </c>
      <c r="H84" s="364">
        <f>SUMMARY!BS89</f>
        <v>3.5912460279382566E-2</v>
      </c>
      <c r="I84" s="360">
        <f>SUMMARY!BT89</f>
        <v>2.6320013317924484</v>
      </c>
      <c r="J84" s="357">
        <f>SUMMARY!BU89</f>
        <v>0</v>
      </c>
      <c r="L84" s="151"/>
    </row>
    <row r="85" spans="1:12" ht="15" thickBot="1" x14ac:dyDescent="0.4">
      <c r="A85" s="174" t="str">
        <f>SUMMARY!B90</f>
        <v>Smith Cove</v>
      </c>
      <c r="B85" s="175">
        <f>SUMMARY!C90</f>
        <v>79</v>
      </c>
      <c r="C85" s="176">
        <f>SUMMARY!BO90</f>
        <v>10.5351</v>
      </c>
      <c r="D85" s="176">
        <f>SUMMARY!BP90</f>
        <v>6.9393770889906135</v>
      </c>
      <c r="E85" s="177">
        <f>SUMMARY!K90</f>
        <v>0.90002562861292301</v>
      </c>
      <c r="F85" s="360">
        <f>SUMMARY!BQ90</f>
        <v>1.76</v>
      </c>
      <c r="G85" s="176">
        <f>SUMMARY!BR90</f>
        <v>0</v>
      </c>
      <c r="H85" s="364">
        <f>SUMMARY!BS90</f>
        <v>7.84707468183851E-4</v>
      </c>
      <c r="I85" s="360">
        <f>SUMMARY!BT90</f>
        <v>6.2901297057048096</v>
      </c>
      <c r="J85" s="357">
        <f>SUMMARY!BU90</f>
        <v>0</v>
      </c>
      <c r="L85" s="151"/>
    </row>
    <row r="86" spans="1:12" ht="15" thickBot="1" x14ac:dyDescent="0.4">
      <c r="A86" s="174" t="str">
        <f>SUMMARY!B91</f>
        <v>Greenwich Harbor</v>
      </c>
      <c r="B86" s="175">
        <f>SUMMARY!C91</f>
        <v>80</v>
      </c>
      <c r="C86" s="176">
        <f>SUMMARY!BO91</f>
        <v>26.624300000000002</v>
      </c>
      <c r="D86" s="176">
        <f>SUMMARY!BP91</f>
        <v>4.3412326651367366</v>
      </c>
      <c r="E86" s="177">
        <f>SUMMARY!K91</f>
        <v>1.93</v>
      </c>
      <c r="F86" s="360">
        <f>SUMMARY!BQ91</f>
        <v>2.36</v>
      </c>
      <c r="G86" s="176">
        <f>SUMMARY!BR91</f>
        <v>0</v>
      </c>
      <c r="H86" s="364">
        <f>SUMMARY!BS91</f>
        <v>1.0548413067278011E-2</v>
      </c>
      <c r="I86" s="360">
        <f>SUMMARY!BT91</f>
        <v>3.9588732438416168</v>
      </c>
      <c r="J86" s="357">
        <f>SUMMARY!BU91</f>
        <v>0</v>
      </c>
      <c r="L86" s="151"/>
    </row>
    <row r="87" spans="1:12" ht="15" thickBot="1" x14ac:dyDescent="0.4">
      <c r="A87" s="174" t="str">
        <f>SUMMARY!B92</f>
        <v>Captain Harbor</v>
      </c>
      <c r="B87" s="175">
        <f>SUMMARY!C92</f>
        <v>81</v>
      </c>
      <c r="C87" s="176">
        <f>SUMMARY!BO92</f>
        <v>35.9069</v>
      </c>
      <c r="D87" s="176">
        <f>SUMMARY!BP92</f>
        <v>5.7419204411519784</v>
      </c>
      <c r="E87" s="177">
        <f>SUMMARY!K92</f>
        <v>1.59878390365083</v>
      </c>
      <c r="F87" s="360">
        <f>SUMMARY!BQ92</f>
        <v>2.96</v>
      </c>
      <c r="G87" s="176">
        <f>SUMMARY!BR92</f>
        <v>0</v>
      </c>
      <c r="H87" s="364">
        <f>SUMMARY!BS92</f>
        <v>3.7855331523961966E-3</v>
      </c>
      <c r="I87" s="360">
        <f>SUMMARY!BT92</f>
        <v>4.6486439661212309</v>
      </c>
      <c r="J87" s="357">
        <f>SUMMARY!BU92</f>
        <v>0</v>
      </c>
      <c r="L87" s="151"/>
    </row>
    <row r="88" spans="1:12" x14ac:dyDescent="0.35">
      <c r="A88" s="160" t="str">
        <f>SUMMARY!B93</f>
        <v>Byram River</v>
      </c>
      <c r="B88" s="161">
        <f>SUMMARY!C93</f>
        <v>82</v>
      </c>
      <c r="C88" s="162">
        <f>SUMMARY!BO93</f>
        <v>12.319699999999999</v>
      </c>
      <c r="D88" s="162">
        <f>SUMMARY!BP93</f>
        <v>63.703977460563166</v>
      </c>
      <c r="E88" s="163">
        <f>SUMMARY!K93</f>
        <v>0.89996347313652103</v>
      </c>
      <c r="F88" s="352">
        <f>SUMMARY!BQ93</f>
        <v>1.96190004349</v>
      </c>
      <c r="G88" s="162">
        <f>SUMMARY!BR93</f>
        <v>0</v>
      </c>
      <c r="H88" s="353">
        <f>SUMMARY!BS93</f>
        <v>0.21135326145182456</v>
      </c>
      <c r="I88" s="352">
        <f>SUMMARY!BT93</f>
        <v>1.9772491863902559</v>
      </c>
      <c r="J88" s="354">
        <f>SUMMARY!BU93</f>
        <v>15.64931463493151</v>
      </c>
      <c r="L88" s="151"/>
    </row>
    <row r="89" spans="1:12" x14ac:dyDescent="0.35">
      <c r="A89" s="165" t="str">
        <f>SUMMARY!B94</f>
        <v>Kirby Pond, NY</v>
      </c>
      <c r="B89" s="156">
        <f>SUMMARY!C94</f>
        <v>83</v>
      </c>
      <c r="C89" s="157">
        <f>SUMMARY!BO94</f>
        <v>70.396100000000004</v>
      </c>
      <c r="D89" s="157">
        <f>SUMMARY!BP94</f>
        <v>5.9787402417122539</v>
      </c>
      <c r="E89" s="158">
        <f>SUMMARY!K94</f>
        <v>1.6087457820443001</v>
      </c>
      <c r="F89" s="358">
        <f>SUMMARY!BQ94</f>
        <v>3.26</v>
      </c>
      <c r="G89" s="157">
        <f>SUMMARY!BR94</f>
        <v>0</v>
      </c>
      <c r="H89" s="362">
        <f>SUMMARY!BS94</f>
        <v>3.816603067603052E-2</v>
      </c>
      <c r="I89" s="358">
        <f>SUMMARY!BT94</f>
        <v>2.425409245979405</v>
      </c>
      <c r="J89" s="355">
        <f>SUMMARY!BU94</f>
        <v>14.426440509315356</v>
      </c>
      <c r="L89" s="151"/>
    </row>
    <row r="90" spans="1:12" x14ac:dyDescent="0.35">
      <c r="A90" s="165" t="str">
        <f>SUMMARY!B95</f>
        <v>Playland Lake, NY</v>
      </c>
      <c r="B90" s="156">
        <f>SUMMARY!C95</f>
        <v>84</v>
      </c>
      <c r="C90" s="157">
        <f>SUMMARY!BO95</f>
        <v>36.376399999999997</v>
      </c>
      <c r="D90" s="157">
        <f>SUMMARY!BP95</f>
        <v>5.2567566029073785</v>
      </c>
      <c r="E90" s="158">
        <f>SUMMARY!K95</f>
        <v>0.89999505173684102</v>
      </c>
      <c r="F90" s="358">
        <f>SUMMARY!BQ95</f>
        <v>1.96190004349</v>
      </c>
      <c r="G90" s="157">
        <f>SUMMARY!BR95</f>
        <v>0</v>
      </c>
      <c r="H90" s="362">
        <f>SUMMARY!BS95</f>
        <v>1.4892387955390983E-3</v>
      </c>
      <c r="I90" s="358">
        <f>SUMMARY!BT95</f>
        <v>4.6425619279031158</v>
      </c>
      <c r="J90" s="355">
        <f>SUMMARY!BU95</f>
        <v>0</v>
      </c>
      <c r="L90" s="151"/>
    </row>
    <row r="91" spans="1:12" ht="24.5" thickBot="1" x14ac:dyDescent="0.4">
      <c r="A91" s="167" t="str">
        <f>SUMMARY!B96</f>
        <v>Byram R. + Kirby P. + Playland L.</v>
      </c>
      <c r="B91" s="168" t="str">
        <f>SUMMARY!C96</f>
        <v>82-83-84</v>
      </c>
      <c r="C91" s="169">
        <f>SUMMARY!BO96</f>
        <v>119.09220000000001</v>
      </c>
      <c r="D91" s="169">
        <f>SUMMARY!BP96</f>
        <v>32.651541075537267</v>
      </c>
      <c r="E91" s="170">
        <f>SUMMARY!K96</f>
        <v>1.3189385110642742</v>
      </c>
      <c r="F91" s="359">
        <f>SUMMARY!BQ96</f>
        <v>3.26</v>
      </c>
      <c r="G91" s="169">
        <f>SUMMARY!BR96</f>
        <v>0</v>
      </c>
      <c r="H91" s="363">
        <f>SUMMARY!BS96</f>
        <v>2.2560165250729368E-2</v>
      </c>
      <c r="I91" s="359">
        <f>SUMMARY!BT96</f>
        <v>2.4624247797155103</v>
      </c>
      <c r="J91" s="356">
        <f>SUMMARY!BU96</f>
        <v>14.426440509315356</v>
      </c>
      <c r="L91" s="151"/>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89"/>
  <sheetViews>
    <sheetView zoomScale="85" zoomScaleNormal="85" workbookViewId="0"/>
  </sheetViews>
  <sheetFormatPr defaultRowHeight="14.5" x14ac:dyDescent="0.35"/>
  <cols>
    <col min="1" max="1" width="8.7265625" style="132"/>
    <col min="2" max="2" width="20.08984375" style="408" customWidth="1"/>
    <col min="3" max="4" width="8.7265625" style="186"/>
    <col min="5" max="5" width="10.36328125" style="186" bestFit="1" customWidth="1"/>
    <col min="6" max="7" width="10.36328125" style="186" customWidth="1"/>
    <col min="8" max="14" width="8.7265625" style="186"/>
    <col min="15" max="15" width="38.7265625" style="186" bestFit="1" customWidth="1"/>
    <col min="16" max="16384" width="8.7265625" style="186"/>
  </cols>
  <sheetData>
    <row r="1" spans="1:25" s="395" customFormat="1" ht="63" x14ac:dyDescent="0.25">
      <c r="A1" s="393" t="s">
        <v>680</v>
      </c>
      <c r="B1" s="407" t="s">
        <v>166</v>
      </c>
      <c r="C1" s="394" t="s">
        <v>0</v>
      </c>
      <c r="D1" s="394" t="s">
        <v>670</v>
      </c>
      <c r="E1" s="394" t="s">
        <v>474</v>
      </c>
      <c r="F1" s="394" t="s">
        <v>671</v>
      </c>
      <c r="G1" s="394" t="s">
        <v>672</v>
      </c>
      <c r="H1" s="394" t="s">
        <v>673</v>
      </c>
      <c r="I1" s="394" t="s">
        <v>403</v>
      </c>
      <c r="J1" s="394" t="s">
        <v>674</v>
      </c>
      <c r="K1" s="394" t="s">
        <v>675</v>
      </c>
      <c r="L1" s="394" t="s">
        <v>676</v>
      </c>
      <c r="M1" s="394" t="s">
        <v>677</v>
      </c>
      <c r="N1" s="394" t="s">
        <v>166</v>
      </c>
      <c r="O1" s="394" t="s">
        <v>166</v>
      </c>
      <c r="P1" s="394" t="s">
        <v>0</v>
      </c>
      <c r="Q1" s="394" t="s">
        <v>670</v>
      </c>
      <c r="R1" s="394" t="s">
        <v>474</v>
      </c>
      <c r="S1" s="394" t="s">
        <v>671</v>
      </c>
      <c r="T1" s="394" t="s">
        <v>672</v>
      </c>
      <c r="U1" s="394" t="s">
        <v>673</v>
      </c>
      <c r="V1" s="394" t="s">
        <v>403</v>
      </c>
      <c r="W1" s="394" t="s">
        <v>674</v>
      </c>
      <c r="X1" s="394" t="s">
        <v>675</v>
      </c>
      <c r="Y1" s="394" t="s">
        <v>676</v>
      </c>
    </row>
    <row r="2" spans="1:25" x14ac:dyDescent="0.35">
      <c r="A2" s="396">
        <v>46</v>
      </c>
      <c r="B2" s="385" t="str">
        <f>LOOKUP($A2,SUMMARY!$A$4:$A$96,SUMMARY!$B$4:$B$96)</f>
        <v>Pages Cove</v>
      </c>
      <c r="C2" s="397">
        <f>LOOKUP($A2,SUMMARY!$A$4:$A$96,SUMMARY!$C$4:$C$96)</f>
        <v>46</v>
      </c>
      <c r="D2" s="397">
        <f>LOOKUP($A2,SUMMARY!$A$4:$A$96,SUMMARY!$AA$4:$AA$96)</f>
        <v>4.8646527052969065E-3</v>
      </c>
      <c r="E2" s="398">
        <f>LOOKUP($A2,SUMMARY!$A$4:$A$96,SUMMARY!$I$4:$I$96)</f>
        <v>1.5500831347791033</v>
      </c>
      <c r="F2" s="398">
        <f>LOOKUP($A2,SUMMARY!$A$4:$A$96,SUMMARY!$BO$4:$BO$96)</f>
        <v>7.4175000000000004</v>
      </c>
      <c r="G2" s="398">
        <f>LOOKUP($A2,SUMMARY!$A$4:$A$96,SUMMARY!$BR$4:$BR$96)</f>
        <v>0</v>
      </c>
      <c r="H2" s="397">
        <f>LOOKUP($A2,SUMMARY!$A$4:$A$96,SUMMARY!$AC$4:$AC$96)</f>
        <v>2.8147466335887308</v>
      </c>
      <c r="I2" s="398">
        <f>LOOKUP($A2,SUMMARY!$A$4:$A$96,SUMMARY!$BG$4:$BG$96)</f>
        <v>0</v>
      </c>
      <c r="J2" s="397">
        <v>0.05</v>
      </c>
      <c r="K2" s="397" t="s">
        <v>678</v>
      </c>
      <c r="L2" s="397" t="s">
        <v>678</v>
      </c>
      <c r="M2" s="397">
        <v>4.4999999999999998E-2</v>
      </c>
      <c r="N2" s="397">
        <v>11</v>
      </c>
      <c r="O2" s="397" t="s">
        <v>678</v>
      </c>
      <c r="P2" s="397" t="s">
        <v>678</v>
      </c>
      <c r="Q2" s="397"/>
      <c r="R2" s="397"/>
      <c r="S2" s="397"/>
      <c r="T2" s="397"/>
      <c r="U2" s="397"/>
      <c r="V2" s="397"/>
      <c r="W2" s="397">
        <v>0.05</v>
      </c>
      <c r="X2" s="397" t="s">
        <v>678</v>
      </c>
      <c r="Y2" s="397" t="s">
        <v>678</v>
      </c>
    </row>
    <row r="3" spans="1:25" x14ac:dyDescent="0.35">
      <c r="A3" s="396">
        <v>40</v>
      </c>
      <c r="B3" s="385" t="str">
        <f>LOOKUP($A3,SUMMARY!$A$4:$A$96,SUMMARY!$B$4:$B$96)</f>
        <v>Indian Cove</v>
      </c>
      <c r="C3" s="397">
        <f>LOOKUP($A3,SUMMARY!$A$4:$A$96,SUMMARY!$C$4:$C$96)</f>
        <v>40</v>
      </c>
      <c r="D3" s="397">
        <f>LOOKUP($A3,SUMMARY!$A$4:$A$96,SUMMARY!$AA$4:$AA$96)</f>
        <v>3.7027760267787833E-3</v>
      </c>
      <c r="E3" s="398">
        <f>LOOKUP($A3,SUMMARY!$A$4:$A$96,SUMMARY!$I$4:$I$96)</f>
        <v>1.649195479766711</v>
      </c>
      <c r="F3" s="398">
        <f>LOOKUP($A3,SUMMARY!$A$4:$A$96,SUMMARY!$BO$4:$BO$96)</f>
        <v>24.2575</v>
      </c>
      <c r="G3" s="398">
        <f>LOOKUP($A3,SUMMARY!$A$4:$A$96,SUMMARY!$BR$4:$BR$96)</f>
        <v>0</v>
      </c>
      <c r="H3" s="397">
        <f>LOOKUP($A3,SUMMARY!$A$4:$A$96,SUMMARY!$AC$4:$AC$96)</f>
        <v>4.4051439092749494</v>
      </c>
      <c r="I3" s="398">
        <f>LOOKUP($A3,SUMMARY!$A$4:$A$96,SUMMARY!$BG$4:$BG$96)</f>
        <v>0</v>
      </c>
      <c r="J3" s="397">
        <v>0.121</v>
      </c>
      <c r="M3" s="397">
        <v>3.0000000000000001E-3</v>
      </c>
      <c r="N3" s="397">
        <v>11</v>
      </c>
      <c r="W3" s="397">
        <v>0.121</v>
      </c>
    </row>
    <row r="4" spans="1:25" x14ac:dyDescent="0.35">
      <c r="A4" s="396">
        <v>43</v>
      </c>
      <c r="B4" s="385" t="str">
        <f>LOOKUP($A4,SUMMARY!$A$4:$A$96,SUMMARY!$B$4:$B$96)</f>
        <v>Island Bay</v>
      </c>
      <c r="C4" s="397">
        <f>LOOKUP($A4,SUMMARY!$A$4:$A$96,SUMMARY!$C$4:$C$96)</f>
        <v>43</v>
      </c>
      <c r="D4" s="397">
        <f>LOOKUP($A4,SUMMARY!$A$4:$A$96,SUMMARY!$AA$4:$AA$96)</f>
        <v>2.1093943298403531E-3</v>
      </c>
      <c r="E4" s="398">
        <f>LOOKUP($A4,SUMMARY!$A$4:$A$96,SUMMARY!$I$4:$I$96)</f>
        <v>1.8936260246712138</v>
      </c>
      <c r="F4" s="398">
        <f>LOOKUP($A4,SUMMARY!$A$4:$A$96,SUMMARY!$BO$4:$BO$96)</f>
        <v>31.608699999999999</v>
      </c>
      <c r="G4" s="398">
        <f>LOOKUP($A4,SUMMARY!$A$4:$A$96,SUMMARY!$BR$4:$BR$96)</f>
        <v>0</v>
      </c>
      <c r="H4" s="397">
        <f>LOOKUP($A4,SUMMARY!$A$4:$A$96,SUMMARY!$AC$4:$AC$96)</f>
        <v>3.5805868436612887</v>
      </c>
      <c r="I4" s="398">
        <f>LOOKUP($A4,SUMMARY!$A$4:$A$96,SUMMARY!$BG$4:$BG$96)</f>
        <v>0</v>
      </c>
      <c r="J4" s="397">
        <v>0.158</v>
      </c>
      <c r="W4" s="397">
        <v>0.158</v>
      </c>
    </row>
    <row r="5" spans="1:25" x14ac:dyDescent="0.35">
      <c r="A5" s="396">
        <v>44</v>
      </c>
      <c r="B5" s="385" t="str">
        <f>LOOKUP($A5,SUMMARY!$A$4:$A$96,SUMMARY!$B$4:$B$96)</f>
        <v>Little Harbor</v>
      </c>
      <c r="C5" s="397">
        <f>LOOKUP($A5,SUMMARY!$A$4:$A$96,SUMMARY!$C$4:$C$96)</f>
        <v>44</v>
      </c>
      <c r="D5" s="397">
        <f>LOOKUP($A5,SUMMARY!$A$4:$A$96,SUMMARY!$AA$4:$AA$96)</f>
        <v>2.7094157507023607E-3</v>
      </c>
      <c r="E5" s="398">
        <f>LOOKUP($A5,SUMMARY!$A$4:$A$96,SUMMARY!$I$4:$I$96)</f>
        <v>2.0510356057263435</v>
      </c>
      <c r="F5" s="398">
        <f>LOOKUP($A5,SUMMARY!$A$4:$A$96,SUMMARY!$BO$4:$BO$96)</f>
        <v>5.8292000000000002</v>
      </c>
      <c r="G5" s="398">
        <f>LOOKUP($A5,SUMMARY!$A$4:$A$96,SUMMARY!$BR$4:$BR$96)</f>
        <v>0</v>
      </c>
      <c r="H5" s="397">
        <f>LOOKUP($A5,SUMMARY!$A$4:$A$96,SUMMARY!$AC$4:$AC$96)</f>
        <v>2.9455044484275383</v>
      </c>
      <c r="I5" s="398">
        <f>LOOKUP($A5,SUMMARY!$A$4:$A$96,SUMMARY!$BG$4:$BG$96)</f>
        <v>0</v>
      </c>
      <c r="J5" s="397">
        <v>0.05</v>
      </c>
      <c r="W5" s="397">
        <v>0.05</v>
      </c>
    </row>
    <row r="6" spans="1:25" x14ac:dyDescent="0.35">
      <c r="A6" s="396">
        <v>74</v>
      </c>
      <c r="B6" s="385" t="str">
        <f>LOOKUP($A6,SUMMARY!$A$4:$A$96,SUMMARY!$B$4:$B$96)</f>
        <v>Wescott Cove</v>
      </c>
      <c r="C6" s="397">
        <f>LOOKUP($A6,SUMMARY!$A$4:$A$96,SUMMARY!$C$4:$C$96)</f>
        <v>74</v>
      </c>
      <c r="D6" s="397">
        <f>LOOKUP($A6,SUMMARY!$A$4:$A$96,SUMMARY!$AA$4:$AA$96)</f>
        <v>6.6646426708862191E-4</v>
      </c>
      <c r="E6" s="398">
        <f>LOOKUP($A6,SUMMARY!$A$4:$A$96,SUMMARY!$I$4:$I$96)</f>
        <v>2.485052110324415</v>
      </c>
      <c r="F6" s="398">
        <f>LOOKUP($A6,SUMMARY!$A$4:$A$96,SUMMARY!$BO$4:$BO$96)</f>
        <v>113.3856</v>
      </c>
      <c r="G6" s="398">
        <f>LOOKUP($A6,SUMMARY!$A$4:$A$96,SUMMARY!$BR$4:$BR$96)</f>
        <v>0</v>
      </c>
      <c r="H6" s="397">
        <f>LOOKUP($A6,SUMMARY!$A$4:$A$96,SUMMARY!$AC$4:$AC$96)</f>
        <v>7.7330099180843934</v>
      </c>
      <c r="I6" s="398">
        <f>LOOKUP($A6,SUMMARY!$A$4:$A$96,SUMMARY!$BG$4:$BG$96)</f>
        <v>0</v>
      </c>
      <c r="J6" s="397">
        <v>0.5</v>
      </c>
      <c r="W6" s="397">
        <v>0.5</v>
      </c>
    </row>
    <row r="7" spans="1:25" s="400" customFormat="1" x14ac:dyDescent="0.35">
      <c r="A7" s="399">
        <v>10</v>
      </c>
      <c r="J7" s="400">
        <v>0.26700000000000002</v>
      </c>
      <c r="O7" s="391" t="str">
        <f>LOOKUP($A7,SUMMARY!$A$4:$A$96,SUMMARY!$B$4:$B$96)</f>
        <v>Bebee Cove</v>
      </c>
      <c r="P7" s="400">
        <f>LOOKUP($A7,SUMMARY!$A$4:$A$96,SUMMARY!$C$4:$C$96)</f>
        <v>10</v>
      </c>
      <c r="Q7" s="400">
        <f>LOOKUP($A7,SUMMARY!$A$4:$A$96,SUMMARY!$AA$4:$AA$96)</f>
        <v>3.3243195702892738E-3</v>
      </c>
      <c r="R7" s="401">
        <f>LOOKUP($A7,SUMMARY!$A$4:$A$96,SUMMARY!$I$4:$I$96)</f>
        <v>2.5442621606688807</v>
      </c>
      <c r="S7" s="401">
        <f>LOOKUP($A7,SUMMARY!$A$4:$A$96,SUMMARY!$BO$4:$BO$96)</f>
        <v>53.486400000000003</v>
      </c>
      <c r="T7" s="401">
        <f>LOOKUP($A7,SUMMARY!$A$4:$A$96,SUMMARY!$BR$4:$BR$96)</f>
        <v>3</v>
      </c>
      <c r="U7" s="400">
        <f>LOOKUP($A7,SUMMARY!$A$4:$A$96,SUMMARY!$AC$4:$AC$96)</f>
        <v>3.9407675868892582</v>
      </c>
      <c r="V7" s="401">
        <f>LOOKUP($A7,SUMMARY!$A$4:$A$96,SUMMARY!$BG$4:$BG$96)</f>
        <v>0</v>
      </c>
      <c r="W7" s="402">
        <v>0.26700000000000002</v>
      </c>
    </row>
    <row r="8" spans="1:25" x14ac:dyDescent="0.35">
      <c r="A8" s="396">
        <v>11</v>
      </c>
      <c r="B8" s="385" t="str">
        <f>LOOKUP($A8,SUMMARY!$A$4:$A$96,SUMMARY!$B$4:$B$96)</f>
        <v>West Cove</v>
      </c>
      <c r="C8" s="397">
        <f>LOOKUP($A8,SUMMARY!$A$4:$A$96,SUMMARY!$C$4:$C$96)</f>
        <v>11</v>
      </c>
      <c r="D8" s="397">
        <f>LOOKUP($A8,SUMMARY!$A$4:$A$96,SUMMARY!$AA$4:$AA$96)</f>
        <v>1.5721313308953702E-3</v>
      </c>
      <c r="E8" s="398">
        <f>LOOKUP($A8,SUMMARY!$A$4:$A$96,SUMMARY!$I$4:$I$96)</f>
        <v>2.6236358456355728</v>
      </c>
      <c r="F8" s="398">
        <f>LOOKUP($A8,SUMMARY!$A$4:$A$96,SUMMARY!$BO$4:$BO$96)</f>
        <v>16.604700000000001</v>
      </c>
      <c r="G8" s="398">
        <f>LOOKUP($A8,SUMMARY!$A$4:$A$96,SUMMARY!$BR$4:$BR$96)</f>
        <v>0</v>
      </c>
      <c r="H8" s="397">
        <f>LOOKUP($A8,SUMMARY!$A$4:$A$96,SUMMARY!$AC$4:$AC$96)</f>
        <v>4.7937464424570733</v>
      </c>
      <c r="I8" s="398">
        <f>LOOKUP($A8,SUMMARY!$A$4:$A$96,SUMMARY!$BG$4:$BG$96)</f>
        <v>0</v>
      </c>
      <c r="J8" s="397">
        <v>8.3000000000000004E-2</v>
      </c>
      <c r="W8" s="397">
        <v>8.3000000000000004E-2</v>
      </c>
    </row>
    <row r="9" spans="1:25" x14ac:dyDescent="0.35">
      <c r="A9" s="396">
        <v>67</v>
      </c>
      <c r="B9" s="385" t="str">
        <f>LOOKUP($A9,SUMMARY!$A$4:$A$96,SUMMARY!$B$4:$B$96)</f>
        <v>Sheffield Island Harbor</v>
      </c>
      <c r="C9" s="397">
        <f>LOOKUP($A9,SUMMARY!$A$4:$A$96,SUMMARY!$C$4:$C$96)</f>
        <v>67</v>
      </c>
      <c r="D9" s="397">
        <f>LOOKUP($A9,SUMMARY!$A$4:$A$96,SUMMARY!$AA$4:$AA$96)</f>
        <v>4.1223428239004697E-3</v>
      </c>
      <c r="E9" s="398">
        <f>LOOKUP($A9,SUMMARY!$A$4:$A$96,SUMMARY!$I$4:$I$96)</f>
        <v>2.6898680582983623</v>
      </c>
      <c r="F9" s="398">
        <f>LOOKUP($A9,SUMMARY!$A$4:$A$96,SUMMARY!$BO$4:$BO$96)</f>
        <v>38.889600000000002</v>
      </c>
      <c r="G9" s="398">
        <f>LOOKUP($A9,SUMMARY!$A$4:$A$96,SUMMARY!$BR$4:$BR$96)</f>
        <v>0</v>
      </c>
      <c r="H9" s="397">
        <f>LOOKUP($A9,SUMMARY!$A$4:$A$96,SUMMARY!$AC$4:$AC$96)</f>
        <v>2.2622227523789005</v>
      </c>
      <c r="I9" s="398">
        <f>LOOKUP($A9,SUMMARY!$A$4:$A$96,SUMMARY!$BG$4:$BG$96)</f>
        <v>0</v>
      </c>
      <c r="J9" s="397">
        <v>0.19400000000000001</v>
      </c>
      <c r="W9" s="397">
        <v>0.19400000000000001</v>
      </c>
    </row>
    <row r="10" spans="1:25" x14ac:dyDescent="0.35">
      <c r="A10" s="396">
        <v>41</v>
      </c>
      <c r="B10" s="385" t="str">
        <f>LOOKUP($A10,SUMMARY!$A$4:$A$96,SUMMARY!$B$4:$B$96)</f>
        <v>Sachem Head Harbor</v>
      </c>
      <c r="C10" s="397">
        <f>LOOKUP($A10,SUMMARY!$A$4:$A$96,SUMMARY!$C$4:$C$96)</f>
        <v>41</v>
      </c>
      <c r="D10" s="397">
        <f>LOOKUP($A10,SUMMARY!$A$4:$A$96,SUMMARY!$AA$4:$AA$96)</f>
        <v>2.0638419567957822E-3</v>
      </c>
      <c r="E10" s="398">
        <f>LOOKUP($A10,SUMMARY!$A$4:$A$96,SUMMARY!$I$4:$I$96)</f>
        <v>3.0625669403090647</v>
      </c>
      <c r="F10" s="398">
        <f>LOOKUP($A10,SUMMARY!$A$4:$A$96,SUMMARY!$BO$4:$BO$96)</f>
        <v>13.1008</v>
      </c>
      <c r="G10" s="398">
        <f>LOOKUP($A10,SUMMARY!$A$4:$A$96,SUMMARY!$BR$4:$BR$96)</f>
        <v>0</v>
      </c>
      <c r="H10" s="397">
        <f>LOOKUP($A10,SUMMARY!$A$4:$A$96,SUMMARY!$AC$4:$AC$96)</f>
        <v>6.4234124334010287</v>
      </c>
      <c r="I10" s="398">
        <f>LOOKUP($A10,SUMMARY!$A$4:$A$96,SUMMARY!$BG$4:$BG$96)</f>
        <v>0</v>
      </c>
      <c r="J10" s="397">
        <v>6.6000000000000003E-2</v>
      </c>
      <c r="W10" s="397">
        <v>6.6000000000000003E-2</v>
      </c>
    </row>
    <row r="11" spans="1:25" x14ac:dyDescent="0.35">
      <c r="A11" s="396">
        <v>30</v>
      </c>
      <c r="B11" s="385" t="str">
        <f>LOOKUP($A11,SUMMARY!$A$4:$A$96,SUMMARY!$B$4:$B$96)</f>
        <v>South Cove</v>
      </c>
      <c r="C11" s="397">
        <f>LOOKUP($A11,SUMMARY!$A$4:$A$96,SUMMARY!$C$4:$C$96)</f>
        <v>30</v>
      </c>
      <c r="D11" s="397">
        <f>LOOKUP($A11,SUMMARY!$A$4:$A$96,SUMMARY!$AA$4:$AA$96)</f>
        <v>1.6925190291204961E-3</v>
      </c>
      <c r="E11" s="398">
        <f>LOOKUP($A11,SUMMARY!$A$4:$A$96,SUMMARY!$I$4:$I$96)</f>
        <v>3.1694558472036363</v>
      </c>
      <c r="F11" s="398">
        <f>LOOKUP($A11,SUMMARY!$A$4:$A$96,SUMMARY!$BO$4:$BO$96)</f>
        <v>128.08420000000001</v>
      </c>
      <c r="G11" s="398">
        <f>LOOKUP($A11,SUMMARY!$A$4:$A$96,SUMMARY!$BR$4:$BR$96)</f>
        <v>3</v>
      </c>
      <c r="H11" s="397">
        <f>LOOKUP($A11,SUMMARY!$A$4:$A$96,SUMMARY!$AC$4:$AC$96)</f>
        <v>9.2739743446389404</v>
      </c>
      <c r="I11" s="398">
        <f>LOOKUP($A11,SUMMARY!$A$4:$A$96,SUMMARY!$BG$4:$BG$96)</f>
        <v>0</v>
      </c>
      <c r="J11" s="397">
        <v>0.5</v>
      </c>
      <c r="W11" s="397">
        <v>0.5</v>
      </c>
    </row>
    <row r="12" spans="1:25" s="400" customFormat="1" x14ac:dyDescent="0.35">
      <c r="A12" s="399">
        <v>72</v>
      </c>
      <c r="J12" s="400">
        <v>0.39500000000000002</v>
      </c>
      <c r="O12" s="391" t="str">
        <f>LOOKUP($A12,SUMMARY!$A$4:$A$96,SUMMARY!$B$4:$B$96)</f>
        <v>Holly Pond</v>
      </c>
      <c r="P12" s="400">
        <f>LOOKUP($A12,SUMMARY!$A$4:$A$96,SUMMARY!$C$4:$C$96)</f>
        <v>72</v>
      </c>
      <c r="Q12" s="400">
        <f>LOOKUP($A12,SUMMARY!$A$4:$A$96,SUMMARY!$AA$4:$AA$96)</f>
        <v>1.455626997182698E-2</v>
      </c>
      <c r="R12" s="401">
        <f>LOOKUP($A12,SUMMARY!$A$4:$A$96,SUMMARY!$I$4:$I$96)</f>
        <v>3.4922323232584316</v>
      </c>
      <c r="S12" s="401">
        <f>LOOKUP($A12,SUMMARY!$A$4:$A$96,SUMMARY!$BO$4:$BO$96)</f>
        <v>79.081000000000003</v>
      </c>
      <c r="T12" s="401">
        <f>LOOKUP($A12,SUMMARY!$A$4:$A$96,SUMMARY!$BR$4:$BR$96)</f>
        <v>3</v>
      </c>
      <c r="U12" s="400">
        <f>LOOKUP($A12,SUMMARY!$A$4:$A$96,SUMMARY!$AC$4:$AC$96)</f>
        <v>2.7927050008865</v>
      </c>
      <c r="V12" s="401">
        <f>LOOKUP($A12,SUMMARY!$A$4:$A$96,SUMMARY!$BG$4:$BG$96)</f>
        <v>0</v>
      </c>
      <c r="W12" s="402">
        <v>0.39500000000000002</v>
      </c>
    </row>
    <row r="13" spans="1:25" x14ac:dyDescent="0.35">
      <c r="A13" s="396">
        <v>7</v>
      </c>
      <c r="B13" s="385" t="str">
        <f>LOOKUP($A13,SUMMARY!$A$4:$A$96,SUMMARY!$B$4:$B$96)</f>
        <v>Wilcox Cove</v>
      </c>
      <c r="C13" s="397">
        <f>LOOKUP($A13,SUMMARY!$A$4:$A$96,SUMMARY!$C$4:$C$96)</f>
        <v>7</v>
      </c>
      <c r="D13" s="397">
        <f>LOOKUP($A13,SUMMARY!$A$4:$A$96,SUMMARY!$AA$4:$AA$96)</f>
        <v>5.2517172781267512E-3</v>
      </c>
      <c r="E13" s="398">
        <f>LOOKUP($A13,SUMMARY!$A$4:$A$96,SUMMARY!$I$4:$I$96)</f>
        <v>3.6564473594961471</v>
      </c>
      <c r="F13" s="398">
        <f>LOOKUP($A13,SUMMARY!$A$4:$A$96,SUMMARY!$BO$4:$BO$96)</f>
        <v>3.9058999999999999</v>
      </c>
      <c r="G13" s="398">
        <f>LOOKUP($A13,SUMMARY!$A$4:$A$96,SUMMARY!$BR$4:$BR$96)</f>
        <v>0</v>
      </c>
      <c r="H13" s="397">
        <f>LOOKUP($A13,SUMMARY!$A$4:$A$96,SUMMARY!$AC$4:$AC$96)</f>
        <v>2.1272299661610625</v>
      </c>
      <c r="I13" s="398">
        <f>LOOKUP($A13,SUMMARY!$A$4:$A$96,SUMMARY!$BG$4:$BG$96)</f>
        <v>0</v>
      </c>
      <c r="J13" s="397">
        <v>0.05</v>
      </c>
      <c r="W13" s="397">
        <v>0.05</v>
      </c>
    </row>
    <row r="14" spans="1:25" x14ac:dyDescent="0.35">
      <c r="A14" s="396">
        <v>80</v>
      </c>
      <c r="B14" s="385" t="str">
        <f>LOOKUP($A14,SUMMARY!$A$4:$A$96,SUMMARY!$B$4:$B$96)</f>
        <v>Greenwich Harbor</v>
      </c>
      <c r="C14" s="397">
        <f>LOOKUP($A14,SUMMARY!$A$4:$A$96,SUMMARY!$C$4:$C$96)</f>
        <v>80</v>
      </c>
      <c r="D14" s="397">
        <f>LOOKUP($A14,SUMMARY!$A$4:$A$96,SUMMARY!$AA$4:$AA$96)</f>
        <v>1.0548413067278011E-2</v>
      </c>
      <c r="E14" s="398">
        <f>LOOKUP($A14,SUMMARY!$A$4:$A$96,SUMMARY!$I$4:$I$96)</f>
        <v>4.3412326651367366</v>
      </c>
      <c r="F14" s="398">
        <f>LOOKUP($A14,SUMMARY!$A$4:$A$96,SUMMARY!$BO$4:$BO$96)</f>
        <v>26.624300000000002</v>
      </c>
      <c r="G14" s="398">
        <f>LOOKUP($A14,SUMMARY!$A$4:$A$96,SUMMARY!$BR$4:$BR$96)</f>
        <v>0</v>
      </c>
      <c r="H14" s="397">
        <f>LOOKUP($A14,SUMMARY!$A$4:$A$96,SUMMARY!$AC$4:$AC$96)</f>
        <v>3.9588732438416168</v>
      </c>
      <c r="I14" s="398">
        <f>LOOKUP($A14,SUMMARY!$A$4:$A$96,SUMMARY!$BG$4:$BG$96)</f>
        <v>0</v>
      </c>
      <c r="J14" s="397">
        <v>0.13300000000000001</v>
      </c>
      <c r="W14" s="397">
        <v>0.13300000000000001</v>
      </c>
    </row>
    <row r="15" spans="1:25" x14ac:dyDescent="0.35">
      <c r="A15" s="396">
        <v>19</v>
      </c>
      <c r="B15" s="385" t="str">
        <f>LOOKUP($A15,SUMMARY!$A$4:$A$96,SUMMARY!$B$4:$B$96)</f>
        <v>Goshen Cove</v>
      </c>
      <c r="C15" s="397">
        <f>LOOKUP($A15,SUMMARY!$A$4:$A$96,SUMMARY!$C$4:$C$96)</f>
        <v>19</v>
      </c>
      <c r="D15" s="397">
        <f>LOOKUP($A15,SUMMARY!$A$4:$A$96,SUMMARY!$AA$4:$AA$96)</f>
        <v>3.2349089458134694E-2</v>
      </c>
      <c r="E15" s="398">
        <f>LOOKUP($A15,SUMMARY!$A$4:$A$96,SUMMARY!$I$4:$I$96)</f>
        <v>4.4855375924520988</v>
      </c>
      <c r="F15" s="398">
        <f>LOOKUP($A15,SUMMARY!$A$4:$A$96,SUMMARY!$BO$4:$BO$96)</f>
        <v>11.4245</v>
      </c>
      <c r="G15" s="398">
        <f>LOOKUP($A15,SUMMARY!$A$4:$A$96,SUMMARY!$BR$4:$BR$96)</f>
        <v>3</v>
      </c>
      <c r="H15" s="397">
        <f>LOOKUP($A15,SUMMARY!$A$4:$A$96,SUMMARY!$AC$4:$AC$96)</f>
        <v>2.9772114594521111</v>
      </c>
      <c r="I15" s="398">
        <f>LOOKUP($A15,SUMMARY!$A$4:$A$96,SUMMARY!$BG$4:$BG$96)</f>
        <v>0</v>
      </c>
      <c r="J15" s="397">
        <v>5.7000000000000002E-2</v>
      </c>
      <c r="W15" s="397">
        <v>5.7000000000000002E-2</v>
      </c>
    </row>
    <row r="16" spans="1:25" x14ac:dyDescent="0.35">
      <c r="A16" s="396">
        <v>76</v>
      </c>
      <c r="B16" s="385" t="str">
        <f>LOOKUP($A16,SUMMARY!$A$4:$A$96,SUMMARY!$B$4:$B$96)</f>
        <v>Greenwich Cove</v>
      </c>
      <c r="C16" s="397">
        <f>LOOKUP($A16,SUMMARY!$A$4:$A$96,SUMMARY!$C$4:$C$96)</f>
        <v>76</v>
      </c>
      <c r="D16" s="397">
        <f>LOOKUP($A16,SUMMARY!$A$4:$A$96,SUMMARY!$AA$4:$AA$96)</f>
        <v>8.6398051344717982E-4</v>
      </c>
      <c r="E16" s="398">
        <f>LOOKUP($A16,SUMMARY!$A$4:$A$96,SUMMARY!$I$4:$I$96)</f>
        <v>4.5510670246547882</v>
      </c>
      <c r="F16" s="398">
        <f>LOOKUP($A16,SUMMARY!$A$4:$A$96,SUMMARY!$BO$4:$BO$96)</f>
        <v>217.33709999999999</v>
      </c>
      <c r="G16" s="398">
        <f>LOOKUP($A16,SUMMARY!$A$4:$A$96,SUMMARY!$BR$4:$BR$96)</f>
        <v>0</v>
      </c>
      <c r="H16" s="397">
        <f>LOOKUP($A16,SUMMARY!$A$4:$A$96,SUMMARY!$AC$4:$AC$96)</f>
        <v>5.4083550023782836</v>
      </c>
      <c r="I16" s="398">
        <f>LOOKUP($A16,SUMMARY!$A$4:$A$96,SUMMARY!$BG$4:$BG$96)</f>
        <v>0</v>
      </c>
      <c r="J16" s="397">
        <v>0.5</v>
      </c>
      <c r="W16" s="397">
        <v>0.5</v>
      </c>
    </row>
    <row r="17" spans="1:23" s="400" customFormat="1" x14ac:dyDescent="0.35">
      <c r="A17" s="399">
        <v>84</v>
      </c>
      <c r="J17" s="400">
        <v>0.182</v>
      </c>
      <c r="O17" s="391" t="str">
        <f>LOOKUP($A17,SUMMARY!$A$4:$A$96,SUMMARY!$B$4:$B$96)</f>
        <v>Playland Lake, NY</v>
      </c>
      <c r="P17" s="400">
        <f>LOOKUP($A17,SUMMARY!$A$4:$A$96,SUMMARY!$C$4:$C$96)</f>
        <v>84</v>
      </c>
      <c r="Q17" s="400">
        <f>LOOKUP($A17,SUMMARY!$A$4:$A$96,SUMMARY!$AA$4:$AA$96)</f>
        <v>1.4892387955390983E-3</v>
      </c>
      <c r="R17" s="401">
        <f>LOOKUP($A17,SUMMARY!$A$4:$A$96,SUMMARY!$I$4:$I$96)</f>
        <v>5.2567566029073785</v>
      </c>
      <c r="S17" s="401">
        <f>LOOKUP($A17,SUMMARY!$A$4:$A$96,SUMMARY!$BO$4:$BO$96)</f>
        <v>36.376399999999997</v>
      </c>
      <c r="T17" s="401">
        <f>LOOKUP($A17,SUMMARY!$A$4:$A$96,SUMMARY!$BR$4:$BR$96)</f>
        <v>0</v>
      </c>
      <c r="U17" s="400">
        <f>LOOKUP($A17,SUMMARY!$A$4:$A$96,SUMMARY!$AC$4:$AC$96)</f>
        <v>4.6425619279031158</v>
      </c>
      <c r="V17" s="401">
        <f>LOOKUP($A17,SUMMARY!$A$4:$A$96,SUMMARY!$BG$4:$BG$96)</f>
        <v>0</v>
      </c>
      <c r="W17" s="402">
        <v>0.182</v>
      </c>
    </row>
    <row r="18" spans="1:23" x14ac:dyDescent="0.35">
      <c r="A18" s="396">
        <v>81</v>
      </c>
      <c r="B18" s="385" t="str">
        <f>LOOKUP($A18,SUMMARY!$A$4:$A$96,SUMMARY!$B$4:$B$96)</f>
        <v>Captain Harbor</v>
      </c>
      <c r="C18" s="397">
        <f>LOOKUP($A18,SUMMARY!$A$4:$A$96,SUMMARY!$C$4:$C$96)</f>
        <v>81</v>
      </c>
      <c r="D18" s="397">
        <f>LOOKUP($A18,SUMMARY!$A$4:$A$96,SUMMARY!$AA$4:$AA$96)</f>
        <v>3.7855331523961966E-3</v>
      </c>
      <c r="E18" s="398">
        <f>LOOKUP($A18,SUMMARY!$A$4:$A$96,SUMMARY!$I$4:$I$96)</f>
        <v>5.7419204411519784</v>
      </c>
      <c r="F18" s="398">
        <f>LOOKUP($A18,SUMMARY!$A$4:$A$96,SUMMARY!$BO$4:$BO$96)</f>
        <v>35.9069</v>
      </c>
      <c r="G18" s="398">
        <f>LOOKUP($A18,SUMMARY!$A$4:$A$96,SUMMARY!$BR$4:$BR$96)</f>
        <v>0</v>
      </c>
      <c r="H18" s="397">
        <f>LOOKUP($A18,SUMMARY!$A$4:$A$96,SUMMARY!$AC$4:$AC$96)</f>
        <v>4.6486439661212309</v>
      </c>
      <c r="I18" s="398">
        <f>LOOKUP($A18,SUMMARY!$A$4:$A$96,SUMMARY!$BG$4:$BG$96)</f>
        <v>0</v>
      </c>
      <c r="J18" s="397">
        <v>0.18</v>
      </c>
      <c r="W18" s="397">
        <v>0.18</v>
      </c>
    </row>
    <row r="19" spans="1:23" x14ac:dyDescent="0.35">
      <c r="A19" s="396">
        <v>78</v>
      </c>
      <c r="B19" s="385" t="str">
        <f>LOOKUP($A19,SUMMARY!$A$4:$A$96,SUMMARY!$B$4:$B$96)</f>
        <v>Indian Harbor</v>
      </c>
      <c r="C19" s="397">
        <f>LOOKUP($A19,SUMMARY!$A$4:$A$96,SUMMARY!$C$4:$C$96)</f>
        <v>78</v>
      </c>
      <c r="D19" s="397">
        <f>LOOKUP($A19,SUMMARY!$A$4:$A$96,SUMMARY!$AA$4:$AA$96)</f>
        <v>3.5912460279382566E-2</v>
      </c>
      <c r="E19" s="398">
        <f>LOOKUP($A19,SUMMARY!$A$4:$A$96,SUMMARY!$I$4:$I$96)</f>
        <v>5.8099866091617844</v>
      </c>
      <c r="F19" s="398">
        <f>LOOKUP($A19,SUMMARY!$A$4:$A$96,SUMMARY!$BO$4:$BO$96)</f>
        <v>23.3186</v>
      </c>
      <c r="G19" s="398">
        <f>LOOKUP($A19,SUMMARY!$A$4:$A$96,SUMMARY!$BR$4:$BR$96)</f>
        <v>0</v>
      </c>
      <c r="H19" s="397">
        <f>LOOKUP($A19,SUMMARY!$A$4:$A$96,SUMMARY!$AC$4:$AC$96)</f>
        <v>2.6320013317924484</v>
      </c>
      <c r="I19" s="398">
        <f>LOOKUP($A19,SUMMARY!$A$4:$A$96,SUMMARY!$BG$4:$BG$96)</f>
        <v>0</v>
      </c>
      <c r="J19" s="397">
        <v>0.11700000000000001</v>
      </c>
      <c r="W19" s="397">
        <v>0.11700000000000001</v>
      </c>
    </row>
    <row r="20" spans="1:23" x14ac:dyDescent="0.35">
      <c r="A20" s="396">
        <v>42</v>
      </c>
      <c r="B20" s="385" t="str">
        <f>LOOKUP($A20,SUMMARY!$A$4:$A$96,SUMMARY!$B$4:$B$96)</f>
        <v>Joshua Cove</v>
      </c>
      <c r="C20" s="397">
        <f>LOOKUP($A20,SUMMARY!$A$4:$A$96,SUMMARY!$C$4:$C$96)</f>
        <v>42</v>
      </c>
      <c r="D20" s="397">
        <f>LOOKUP($A20,SUMMARY!$A$4:$A$96,SUMMARY!$AA$4:$AA$96)</f>
        <v>2.7167536870131162E-3</v>
      </c>
      <c r="E20" s="398">
        <f>LOOKUP($A20,SUMMARY!$A$4:$A$96,SUMMARY!$I$4:$I$96)</f>
        <v>6.0114583380876496</v>
      </c>
      <c r="F20" s="398">
        <f>LOOKUP($A20,SUMMARY!$A$4:$A$96,SUMMARY!$BO$4:$BO$96)</f>
        <v>90.289900000000003</v>
      </c>
      <c r="G20" s="398">
        <f>LOOKUP($A20,SUMMARY!$A$4:$A$96,SUMMARY!$BR$4:$BR$96)</f>
        <v>1</v>
      </c>
      <c r="H20" s="397">
        <f>LOOKUP($A20,SUMMARY!$A$4:$A$96,SUMMARY!$AC$4:$AC$96)</f>
        <v>2.186477879575671</v>
      </c>
      <c r="I20" s="398">
        <f>LOOKUP($A20,SUMMARY!$A$4:$A$96,SUMMARY!$BG$4:$BG$96)</f>
        <v>0</v>
      </c>
      <c r="J20" s="397">
        <v>0.45100000000000001</v>
      </c>
      <c r="W20" s="397">
        <v>0.45100000000000001</v>
      </c>
    </row>
    <row r="21" spans="1:23" x14ac:dyDescent="0.35">
      <c r="A21" s="396">
        <v>14</v>
      </c>
      <c r="B21" s="385" t="str">
        <f>LOOKUP($A21,SUMMARY!$A$4:$A$96,SUMMARY!$B$4:$B$96)</f>
        <v>Mumford Cove</v>
      </c>
      <c r="C21" s="397">
        <f>LOOKUP($A21,SUMMARY!$A$4:$A$96,SUMMARY!$C$4:$C$96)</f>
        <v>14</v>
      </c>
      <c r="D21" s="397">
        <f>LOOKUP($A21,SUMMARY!$A$4:$A$96,SUMMARY!$AA$4:$AA$96)</f>
        <v>6.9979621025089058E-3</v>
      </c>
      <c r="E21" s="398">
        <f>LOOKUP($A21,SUMMARY!$A$4:$A$96,SUMMARY!$I$4:$I$96)</f>
        <v>6.144591749531072</v>
      </c>
      <c r="F21" s="398">
        <f>LOOKUP($A21,SUMMARY!$A$4:$A$96,SUMMARY!$BO$4:$BO$96)</f>
        <v>116.54259999999999</v>
      </c>
      <c r="G21" s="398">
        <f>LOOKUP($A21,SUMMARY!$A$4:$A$96,SUMMARY!$BR$4:$BR$96)</f>
        <v>0</v>
      </c>
      <c r="H21" s="397">
        <f>LOOKUP($A21,SUMMARY!$A$4:$A$96,SUMMARY!$AC$4:$AC$96)</f>
        <v>2.4987516848577229</v>
      </c>
      <c r="I21" s="398">
        <f>LOOKUP($A21,SUMMARY!$A$4:$A$96,SUMMARY!$BG$4:$BG$96)</f>
        <v>0</v>
      </c>
      <c r="J21" s="397">
        <v>0.5</v>
      </c>
      <c r="W21" s="397">
        <v>0.5</v>
      </c>
    </row>
    <row r="22" spans="1:23" s="400" customFormat="1" x14ac:dyDescent="0.35">
      <c r="A22" s="399">
        <v>4</v>
      </c>
      <c r="J22" s="402">
        <v>9.4E-2</v>
      </c>
      <c r="O22" s="391" t="str">
        <f>LOOKUP($A22,SUMMARY!$A$4:$A$96,SUMMARY!$B$4:$B$96)</f>
        <v>Quanaduck Cove</v>
      </c>
      <c r="P22" s="400">
        <f>LOOKUP($A22,SUMMARY!$A$4:$A$96,SUMMARY!$C$4:$C$96)</f>
        <v>4</v>
      </c>
      <c r="Q22" s="400">
        <f>LOOKUP($A22,SUMMARY!$A$4:$A$96,SUMMARY!$AA$4:$AA$96)</f>
        <v>1.1019455342967017E-2</v>
      </c>
      <c r="R22" s="401">
        <f>LOOKUP($A22,SUMMARY!$A$4:$A$96,SUMMARY!$I$4:$I$96)</f>
        <v>6.315469271024857</v>
      </c>
      <c r="S22" s="401">
        <f>LOOKUP($A22,SUMMARY!$A$4:$A$96,SUMMARY!$BO$4:$BO$96)</f>
        <v>18.796800000000001</v>
      </c>
      <c r="T22" s="401">
        <f>LOOKUP($A22,SUMMARY!$A$4:$A$96,SUMMARY!$BR$4:$BR$96)</f>
        <v>3</v>
      </c>
      <c r="U22" s="400">
        <f>LOOKUP($A22,SUMMARY!$A$4:$A$96,SUMMARY!$AC$4:$AC$96)</f>
        <v>2.529786667813485</v>
      </c>
      <c r="V22" s="401">
        <f>LOOKUP($A22,SUMMARY!$A$4:$A$96,SUMMARY!$BG$4:$BG$96)</f>
        <v>0</v>
      </c>
      <c r="W22" s="402">
        <v>9.4E-2</v>
      </c>
    </row>
    <row r="23" spans="1:23" s="400" customFormat="1" x14ac:dyDescent="0.35">
      <c r="A23" s="399">
        <v>71</v>
      </c>
      <c r="J23" s="402">
        <v>0.314</v>
      </c>
      <c r="O23" s="391" t="str">
        <f>LOOKUP($A23,SUMMARY!$A$4:$A$96,SUMMARY!$B$4:$B$96)</f>
        <v>Darien River</v>
      </c>
      <c r="P23" s="400">
        <f>LOOKUP($A23,SUMMARY!$A$4:$A$96,SUMMARY!$C$4:$C$96)</f>
        <v>71</v>
      </c>
      <c r="Q23" s="400">
        <f>LOOKUP($A23,SUMMARY!$A$4:$A$96,SUMMARY!$AA$4:$AA$96)</f>
        <v>1.1728822997330449E-2</v>
      </c>
      <c r="R23" s="401">
        <f>LOOKUP($A23,SUMMARY!$A$4:$A$96,SUMMARY!$I$4:$I$96)</f>
        <v>6.8171379338193887</v>
      </c>
      <c r="S23" s="401">
        <f>LOOKUP($A23,SUMMARY!$A$4:$A$96,SUMMARY!$BO$4:$BO$96)</f>
        <v>62.846200000000003</v>
      </c>
      <c r="T23" s="401">
        <f>LOOKUP($A23,SUMMARY!$A$4:$A$96,SUMMARY!$BR$4:$BR$96)</f>
        <v>0</v>
      </c>
      <c r="U23" s="400">
        <f>LOOKUP($A23,SUMMARY!$A$4:$A$96,SUMMARY!$AC$4:$AC$96)</f>
        <v>3.3534167489889262</v>
      </c>
      <c r="V23" s="401">
        <f>LOOKUP($A23,SUMMARY!$A$4:$A$96,SUMMARY!$BG$4:$BG$96)</f>
        <v>0</v>
      </c>
      <c r="W23" s="402">
        <v>0.314</v>
      </c>
    </row>
    <row r="24" spans="1:23" x14ac:dyDescent="0.35">
      <c r="A24" s="396">
        <v>79</v>
      </c>
      <c r="B24" s="385" t="str">
        <f>LOOKUP($A24,SUMMARY!$A$4:$A$96,SUMMARY!$B$4:$B$96)</f>
        <v>Smith Cove</v>
      </c>
      <c r="C24" s="397">
        <f>LOOKUP($A24,SUMMARY!$A$4:$A$96,SUMMARY!$C$4:$C$96)</f>
        <v>79</v>
      </c>
      <c r="D24" s="397">
        <f>LOOKUP($A24,SUMMARY!$A$4:$A$96,SUMMARY!$AA$4:$AA$96)</f>
        <v>7.84707468183851E-4</v>
      </c>
      <c r="E24" s="398">
        <f>LOOKUP($A24,SUMMARY!$A$4:$A$96,SUMMARY!$I$4:$I$96)</f>
        <v>6.9393770889906135</v>
      </c>
      <c r="F24" s="398">
        <f>LOOKUP($A24,SUMMARY!$A$4:$A$96,SUMMARY!$BO$4:$BO$96)</f>
        <v>10.5351</v>
      </c>
      <c r="G24" s="398">
        <f>LOOKUP($A24,SUMMARY!$A$4:$A$96,SUMMARY!$BR$4:$BR$96)</f>
        <v>0</v>
      </c>
      <c r="H24" s="397">
        <f>LOOKUP($A24,SUMMARY!$A$4:$A$96,SUMMARY!$AC$4:$AC$96)</f>
        <v>6.2901297057048096</v>
      </c>
      <c r="I24" s="398">
        <f>LOOKUP($A24,SUMMARY!$A$4:$A$96,SUMMARY!$BG$4:$BG$96)</f>
        <v>0</v>
      </c>
      <c r="J24" s="397">
        <v>5.2999999999999999E-2</v>
      </c>
      <c r="W24" s="397">
        <v>5.2999999999999999E-2</v>
      </c>
    </row>
    <row r="25" spans="1:23" x14ac:dyDescent="0.35">
      <c r="A25" s="396">
        <v>12</v>
      </c>
      <c r="B25" s="385" t="str">
        <f>LOOKUP($A25,SUMMARY!$A$4:$A$96,SUMMARY!$B$4:$B$96)</f>
        <v>Palmer Cove</v>
      </c>
      <c r="C25" s="397">
        <f>LOOKUP($A25,SUMMARY!$A$4:$A$96,SUMMARY!$C$4:$C$96)</f>
        <v>12</v>
      </c>
      <c r="D25" s="397">
        <f>LOOKUP($A25,SUMMARY!$A$4:$A$96,SUMMARY!$AA$4:$AA$96)</f>
        <v>1.6131154063704026E-2</v>
      </c>
      <c r="E25" s="398">
        <f>LOOKUP($A25,SUMMARY!$A$4:$A$96,SUMMARY!$I$4:$I$96)</f>
        <v>7.1588607395650374</v>
      </c>
      <c r="F25" s="398">
        <f>LOOKUP($A25,SUMMARY!$A$4:$A$96,SUMMARY!$BO$4:$BO$96)</f>
        <v>59.954700000000003</v>
      </c>
      <c r="G25" s="398">
        <f>LOOKUP($A25,SUMMARY!$A$4:$A$96,SUMMARY!$BR$4:$BR$96)</f>
        <v>4</v>
      </c>
      <c r="H25" s="397">
        <f>LOOKUP($A25,SUMMARY!$A$4:$A$96,SUMMARY!$AC$4:$AC$96)</f>
        <v>2.5922338446325206</v>
      </c>
      <c r="I25" s="398">
        <f>LOOKUP($A25,SUMMARY!$A$4:$A$96,SUMMARY!$BG$4:$BG$96)</f>
        <v>0</v>
      </c>
      <c r="J25" s="397">
        <v>0.3</v>
      </c>
      <c r="W25" s="397">
        <v>0.3</v>
      </c>
    </row>
    <row r="26" spans="1:23" x14ac:dyDescent="0.35">
      <c r="A26" s="396">
        <v>77</v>
      </c>
      <c r="B26" s="385" t="str">
        <f>LOOKUP($A26,SUMMARY!$A$4:$A$96,SUMMARY!$B$4:$B$96)</f>
        <v>Mianus River</v>
      </c>
      <c r="C26" s="397">
        <f>LOOKUP($A26,SUMMARY!$A$4:$A$96,SUMMARY!$C$4:$C$96)</f>
        <v>77</v>
      </c>
      <c r="D26" s="397">
        <f>LOOKUP($A26,SUMMARY!$A$4:$A$96,SUMMARY!$AA$4:$AA$96)</f>
        <v>1.8520702502343223E-2</v>
      </c>
      <c r="E26" s="398">
        <f>LOOKUP($A26,SUMMARY!$A$4:$A$96,SUMMARY!$I$4:$I$96)</f>
        <v>7.2165860377978595</v>
      </c>
      <c r="F26" s="398">
        <f>LOOKUP($A26,SUMMARY!$A$4:$A$96,SUMMARY!$BO$4:$BO$96)</f>
        <v>179.06039999999999</v>
      </c>
      <c r="G26" s="398">
        <f>LOOKUP($A26,SUMMARY!$A$4:$A$96,SUMMARY!$BR$4:$BR$96)</f>
        <v>0</v>
      </c>
      <c r="H26" s="397">
        <f>LOOKUP($A26,SUMMARY!$A$4:$A$96,SUMMARY!$AC$4:$AC$96)</f>
        <v>1.8561297752020087</v>
      </c>
      <c r="I26" s="398">
        <f>LOOKUP($A26,SUMMARY!$A$4:$A$96,SUMMARY!$BG$4:$BG$96)</f>
        <v>0</v>
      </c>
      <c r="J26" s="397">
        <v>0.5</v>
      </c>
      <c r="W26" s="397">
        <v>0.5</v>
      </c>
    </row>
    <row r="27" spans="1:23" x14ac:dyDescent="0.35">
      <c r="A27" s="396">
        <v>69</v>
      </c>
      <c r="B27" s="385" t="str">
        <f>LOOKUP($A27,SUMMARY!$A$4:$A$96,SUMMARY!$B$4:$B$96)</f>
        <v>Scotts Cove</v>
      </c>
      <c r="C27" s="397">
        <f>LOOKUP($A27,SUMMARY!$A$4:$A$96,SUMMARY!$C$4:$C$96)</f>
        <v>69</v>
      </c>
      <c r="D27" s="397">
        <f>LOOKUP($A27,SUMMARY!$A$4:$A$96,SUMMARY!$AA$4:$AA$96)</f>
        <v>1.598565141505879E-3</v>
      </c>
      <c r="E27" s="398">
        <f>LOOKUP($A27,SUMMARY!$A$4:$A$96,SUMMARY!$I$4:$I$96)</f>
        <v>7.4966008023884658</v>
      </c>
      <c r="F27" s="398">
        <f>LOOKUP($A27,SUMMARY!$A$4:$A$96,SUMMARY!$BO$4:$BO$96)</f>
        <v>82.931899999999999</v>
      </c>
      <c r="G27" s="398">
        <f>LOOKUP($A27,SUMMARY!$A$4:$A$96,SUMMARY!$BR$4:$BR$96)</f>
        <v>0</v>
      </c>
      <c r="H27" s="397">
        <f>LOOKUP($A27,SUMMARY!$A$4:$A$96,SUMMARY!$AC$4:$AC$96)</f>
        <v>5.249884420885734</v>
      </c>
      <c r="I27" s="398">
        <f>LOOKUP($A27,SUMMARY!$A$4:$A$96,SUMMARY!$BG$4:$BG$96)</f>
        <v>0</v>
      </c>
      <c r="J27" s="397">
        <v>0.41499999999999998</v>
      </c>
      <c r="W27" s="397">
        <v>0.41499999999999998</v>
      </c>
    </row>
    <row r="28" spans="1:23" x14ac:dyDescent="0.35">
      <c r="A28" s="396">
        <v>16</v>
      </c>
      <c r="B28" s="385" t="str">
        <f>LOOKUP($A28,SUMMARY!$A$4:$A$96,SUMMARY!$B$4:$B$96)</f>
        <v>Baker Cove</v>
      </c>
      <c r="C28" s="397">
        <f>LOOKUP($A28,SUMMARY!$A$4:$A$96,SUMMARY!$C$4:$C$96)</f>
        <v>16</v>
      </c>
      <c r="D28" s="397">
        <f>LOOKUP($A28,SUMMARY!$A$4:$A$96,SUMMARY!$AA$4:$AA$96)</f>
        <v>8.2004885730255252E-3</v>
      </c>
      <c r="E28" s="398">
        <f>LOOKUP($A28,SUMMARY!$A$4:$A$96,SUMMARY!$I$4:$I$96)</f>
        <v>8.1554719334919312</v>
      </c>
      <c r="F28" s="398">
        <f>LOOKUP($A28,SUMMARY!$A$4:$A$96,SUMMARY!$BO$4:$BO$96)</f>
        <v>66.373900000000006</v>
      </c>
      <c r="G28" s="398">
        <f>LOOKUP($A28,SUMMARY!$A$4:$A$96,SUMMARY!$BR$4:$BR$96)</f>
        <v>4</v>
      </c>
      <c r="H28" s="397">
        <f>LOOKUP($A28,SUMMARY!$A$4:$A$96,SUMMARY!$AC$4:$AC$96)</f>
        <v>4.3431738872135996</v>
      </c>
      <c r="I28" s="398">
        <f>LOOKUP($A28,SUMMARY!$A$4:$A$96,SUMMARY!$BG$4:$BG$96)</f>
        <v>0</v>
      </c>
      <c r="J28" s="397">
        <v>0.33200000000000002</v>
      </c>
      <c r="W28" s="397">
        <v>0.33200000000000002</v>
      </c>
    </row>
    <row r="29" spans="1:23" x14ac:dyDescent="0.35">
      <c r="A29" s="396">
        <v>3</v>
      </c>
      <c r="B29" s="385" t="str">
        <f>LOOKUP($A29,SUMMARY!$A$4:$A$96,SUMMARY!$B$4:$B$96)</f>
        <v>Wequetequock Cove</v>
      </c>
      <c r="C29" s="397">
        <f>LOOKUP($A29,SUMMARY!$A$4:$A$96,SUMMARY!$C$4:$C$96)</f>
        <v>3</v>
      </c>
      <c r="D29" s="397">
        <f>LOOKUP($A29,SUMMARY!$A$4:$A$96,SUMMARY!$AA$4:$AA$96)</f>
        <v>3.9406304292484373E-2</v>
      </c>
      <c r="E29" s="398">
        <f>LOOKUP($A29,SUMMARY!$A$4:$A$96,SUMMARY!$I$4:$I$96)</f>
        <v>9.9928110018588754</v>
      </c>
      <c r="F29" s="398">
        <f>LOOKUP($A29,SUMMARY!$A$4:$A$96,SUMMARY!$BO$4:$BO$96)</f>
        <v>81.877399999999994</v>
      </c>
      <c r="G29" s="398">
        <f>LOOKUP($A29,SUMMARY!$A$4:$A$96,SUMMARY!$BR$4:$BR$96)</f>
        <v>2</v>
      </c>
      <c r="H29" s="397">
        <f>LOOKUP($A29,SUMMARY!$A$4:$A$96,SUMMARY!$AC$4:$AC$96)</f>
        <v>2.1042885161476996</v>
      </c>
      <c r="I29" s="398">
        <f>LOOKUP($A29,SUMMARY!$A$4:$A$96,SUMMARY!$BG$4:$BG$96)</f>
        <v>0</v>
      </c>
      <c r="J29" s="397">
        <v>0.40899999999999997</v>
      </c>
      <c r="W29" s="397">
        <v>0.40899999999999997</v>
      </c>
    </row>
    <row r="30" spans="1:23" x14ac:dyDescent="0.35">
      <c r="A30" s="396">
        <v>65</v>
      </c>
      <c r="B30" s="385" t="str">
        <f>LOOKUP($A30,SUMMARY!$A$4:$A$96,SUMMARY!$B$4:$B$96)</f>
        <v>Cockenoe Harbor</v>
      </c>
      <c r="C30" s="397">
        <f>LOOKUP($A30,SUMMARY!$A$4:$A$96,SUMMARY!$C$4:$C$96)</f>
        <v>65</v>
      </c>
      <c r="D30" s="397">
        <f>LOOKUP($A30,SUMMARY!$A$4:$A$96,SUMMARY!$AA$4:$AA$96)</f>
        <v>1.3372603550351686E-3</v>
      </c>
      <c r="E30" s="398">
        <f>LOOKUP($A30,SUMMARY!$A$4:$A$96,SUMMARY!$I$4:$I$96)</f>
        <v>10.286175545266492</v>
      </c>
      <c r="F30" s="398">
        <f>LOOKUP($A30,SUMMARY!$A$4:$A$96,SUMMARY!$BO$4:$BO$96)</f>
        <v>40.945300000000003</v>
      </c>
      <c r="G30" s="398">
        <f>LOOKUP($A30,SUMMARY!$A$4:$A$96,SUMMARY!$BR$4:$BR$96)</f>
        <v>2</v>
      </c>
      <c r="H30" s="397">
        <f>LOOKUP($A30,SUMMARY!$A$4:$A$96,SUMMARY!$AC$4:$AC$96)</f>
        <v>6.5012344758362026</v>
      </c>
      <c r="I30" s="398">
        <f>LOOKUP($A30,SUMMARY!$A$4:$A$96,SUMMARY!$BG$4:$BG$96)</f>
        <v>0</v>
      </c>
      <c r="J30" s="397">
        <v>0.20499999999999999</v>
      </c>
      <c r="W30" s="397">
        <v>0.20499999999999999</v>
      </c>
    </row>
    <row r="31" spans="1:23" x14ac:dyDescent="0.35">
      <c r="A31" s="396">
        <v>51</v>
      </c>
      <c r="B31" s="385" t="str">
        <f>LOOKUP($A31,SUMMARY!$A$4:$A$96,SUMMARY!$B$4:$B$96)</f>
        <v>Milford Harbor</v>
      </c>
      <c r="C31" s="397">
        <f>LOOKUP($A31,SUMMARY!$A$4:$A$96,SUMMARY!$C$4:$C$96)</f>
        <v>51</v>
      </c>
      <c r="D31" s="397">
        <f>LOOKUP($A31,SUMMARY!$A$4:$A$96,SUMMARY!$AA$4:$AA$96)</f>
        <v>9.8118637013284056E-3</v>
      </c>
      <c r="E31" s="398">
        <f>LOOKUP($A31,SUMMARY!$A$4:$A$96,SUMMARY!$I$4:$I$96)</f>
        <v>10.302163604009751</v>
      </c>
      <c r="F31" s="398">
        <f>LOOKUP($A31,SUMMARY!$A$4:$A$96,SUMMARY!$BO$4:$BO$96)</f>
        <v>372.5718</v>
      </c>
      <c r="G31" s="398">
        <f>LOOKUP($A31,SUMMARY!$A$4:$A$96,SUMMARY!$BR$4:$BR$96)</f>
        <v>2</v>
      </c>
      <c r="H31" s="397">
        <f>LOOKUP($A31,SUMMARY!$A$4:$A$96,SUMMARY!$AC$4:$AC$96)</f>
        <v>3.0396734561858092</v>
      </c>
      <c r="I31" s="398">
        <f>LOOKUP($A31,SUMMARY!$A$4:$A$96,SUMMARY!$BG$4:$BG$96)</f>
        <v>0</v>
      </c>
      <c r="J31" s="397">
        <v>0.5</v>
      </c>
      <c r="W31" s="397">
        <v>0.5</v>
      </c>
    </row>
    <row r="32" spans="1:23" s="406" customFormat="1" x14ac:dyDescent="0.35">
      <c r="A32" s="403">
        <v>22</v>
      </c>
      <c r="B32" s="392" t="str">
        <f>LOOKUP($A32,SUMMARY!$A$4:$A$96,SUMMARY!$B$4:$B$96)</f>
        <v>Niantic River</v>
      </c>
      <c r="C32" s="404">
        <f>LOOKUP($A32,SUMMARY!$A$4:$A$96,SUMMARY!$C$4:$C$96)</f>
        <v>22</v>
      </c>
      <c r="D32" s="404">
        <f>LOOKUP($A32,SUMMARY!$A$4:$A$96,SUMMARY!$AA$4:$AA$96)</f>
        <v>2.0997191524481994E-2</v>
      </c>
      <c r="E32" s="405">
        <f>LOOKUP($A32,SUMMARY!$A$4:$A$96,SUMMARY!$I$4:$I$96)</f>
        <v>13.433605354343682</v>
      </c>
      <c r="F32" s="405">
        <f>LOOKUP($A32,SUMMARY!$A$4:$A$96,SUMMARY!$BO$4:$BO$96)</f>
        <v>321.01010000000002</v>
      </c>
      <c r="G32" s="405">
        <f>LOOKUP($A32,SUMMARY!$A$4:$A$96,SUMMARY!$BR$4:$BR$96)</f>
        <v>3</v>
      </c>
      <c r="H32" s="404">
        <f>LOOKUP($A32,SUMMARY!$A$4:$A$96,SUMMARY!$AC$4:$AC$96)</f>
        <v>1.2815929797148853</v>
      </c>
      <c r="I32" s="405">
        <f>LOOKUP($A32,SUMMARY!$A$4:$A$96,SUMMARY!$BG$4:$BG$96)</f>
        <v>0</v>
      </c>
      <c r="J32" s="404">
        <v>0.5</v>
      </c>
      <c r="O32" s="392" t="str">
        <f>LOOKUP($A32,SUMMARY!$A$4:$A$96,SUMMARY!$B$4:$B$96)</f>
        <v>Niantic River</v>
      </c>
      <c r="P32" s="404">
        <f>LOOKUP($A32,SUMMARY!$A$4:$A$96,SUMMARY!$C$4:$C$96)</f>
        <v>22</v>
      </c>
      <c r="Q32" s="404">
        <f>LOOKUP($A32,SUMMARY!$A$4:$A$96,SUMMARY!$AA$4:$AA$96)</f>
        <v>2.0997191524481994E-2</v>
      </c>
      <c r="R32" s="405">
        <f>LOOKUP($A32,SUMMARY!$A$4:$A$96,SUMMARY!$I$4:$I$96)</f>
        <v>13.433605354343682</v>
      </c>
      <c r="S32" s="405">
        <f>LOOKUP($A32,SUMMARY!$A$4:$A$96,SUMMARY!$BO$4:$BO$96)</f>
        <v>321.01010000000002</v>
      </c>
      <c r="T32" s="405">
        <f>LOOKUP($A32,SUMMARY!$A$4:$A$96,SUMMARY!$BR$4:$BR$96)</f>
        <v>3</v>
      </c>
      <c r="U32" s="404">
        <f>LOOKUP($A32,SUMMARY!$A$4:$A$96,SUMMARY!$AC$4:$AC$96)</f>
        <v>1.2815929797148853</v>
      </c>
      <c r="V32" s="405">
        <f>LOOKUP($A32,SUMMARY!$A$4:$A$96,SUMMARY!$BG$4:$BG$96)</f>
        <v>0</v>
      </c>
      <c r="W32" s="404">
        <v>0.5</v>
      </c>
    </row>
    <row r="33" spans="1:23" x14ac:dyDescent="0.35">
      <c r="A33" s="396">
        <v>33</v>
      </c>
      <c r="B33" s="385" t="str">
        <f>LOOKUP($A33,SUMMARY!$A$4:$A$96,SUMMARY!$B$4:$B$96)</f>
        <v>Hagar Creek</v>
      </c>
      <c r="C33" s="397">
        <f>LOOKUP($A33,SUMMARY!$A$4:$A$96,SUMMARY!$C$4:$C$96)</f>
        <v>33</v>
      </c>
      <c r="D33" s="397">
        <f>LOOKUP($A33,SUMMARY!$A$4:$A$96,SUMMARY!$AA$4:$AA$96)</f>
        <v>4.9530037139422368E-2</v>
      </c>
      <c r="E33" s="398">
        <f>LOOKUP($A33,SUMMARY!$A$4:$A$96,SUMMARY!$I$4:$I$96)</f>
        <v>14.056507933535796</v>
      </c>
      <c r="F33" s="398">
        <f>LOOKUP($A33,SUMMARY!$A$4:$A$96,SUMMARY!$BO$4:$BO$96)</f>
        <v>1.8884000000000001</v>
      </c>
      <c r="G33" s="398">
        <f>LOOKUP($A33,SUMMARY!$A$4:$A$96,SUMMARY!$BR$4:$BR$96)</f>
        <v>0</v>
      </c>
      <c r="H33" s="397">
        <f>LOOKUP($A33,SUMMARY!$A$4:$A$96,SUMMARY!$AC$4:$AC$96)</f>
        <v>4.3234451330642969</v>
      </c>
      <c r="I33" s="398">
        <f>LOOKUP($A33,SUMMARY!$A$4:$A$96,SUMMARY!$BG$4:$BG$96)</f>
        <v>0</v>
      </c>
      <c r="J33" s="397">
        <v>0.05</v>
      </c>
      <c r="W33" s="397">
        <v>0.05</v>
      </c>
    </row>
    <row r="34" spans="1:23" x14ac:dyDescent="0.35">
      <c r="A34" s="396">
        <v>6</v>
      </c>
      <c r="B34" s="385" t="str">
        <f>LOOKUP($A34,SUMMARY!$A$4:$A$96,SUMMARY!$B$4:$B$96)</f>
        <v>Quiambog Cove</v>
      </c>
      <c r="C34" s="397">
        <f>LOOKUP($A34,SUMMARY!$A$4:$A$96,SUMMARY!$C$4:$C$96)</f>
        <v>6</v>
      </c>
      <c r="D34" s="397">
        <f>LOOKUP($A34,SUMMARY!$A$4:$A$96,SUMMARY!$AA$4:$AA$96)</f>
        <v>6.5391140339017009E-2</v>
      </c>
      <c r="E34" s="398">
        <f>LOOKUP($A34,SUMMARY!$A$4:$A$96,SUMMARY!$I$4:$I$96)</f>
        <v>14.096782048028572</v>
      </c>
      <c r="F34" s="398">
        <f>LOOKUP($A34,SUMMARY!$A$4:$A$96,SUMMARY!$BO$4:$BO$96)</f>
        <v>29.3721</v>
      </c>
      <c r="G34" s="398">
        <f>LOOKUP($A34,SUMMARY!$A$4:$A$96,SUMMARY!$BR$4:$BR$96)</f>
        <v>2</v>
      </c>
      <c r="H34" s="397">
        <f>LOOKUP($A34,SUMMARY!$A$4:$A$96,SUMMARY!$AC$4:$AC$96)</f>
        <v>1.4194076636533126</v>
      </c>
      <c r="I34" s="398">
        <f>LOOKUP($A34,SUMMARY!$A$4:$A$96,SUMMARY!$BG$4:$BG$96)</f>
        <v>0</v>
      </c>
      <c r="J34" s="397">
        <v>0.14699999999999999</v>
      </c>
      <c r="W34" s="397">
        <v>0.14699999999999999</v>
      </c>
    </row>
    <row r="35" spans="1:23" x14ac:dyDescent="0.35">
      <c r="A35" s="396">
        <v>15</v>
      </c>
      <c r="B35" s="385" t="str">
        <f>LOOKUP($A35,SUMMARY!$A$4:$A$96,SUMMARY!$B$4:$B$96)</f>
        <v>Poquonock River</v>
      </c>
      <c r="C35" s="397">
        <f>LOOKUP($A35,SUMMARY!$A$4:$A$96,SUMMARY!$C$4:$C$96)</f>
        <v>15</v>
      </c>
      <c r="D35" s="397">
        <f>LOOKUP($A35,SUMMARY!$A$4:$A$96,SUMMARY!$AA$4:$AA$96)</f>
        <v>4.8677091032423708E-2</v>
      </c>
      <c r="E35" s="398">
        <f>LOOKUP($A35,SUMMARY!$A$4:$A$96,SUMMARY!$I$4:$I$96)</f>
        <v>14.231790631006762</v>
      </c>
      <c r="F35" s="398">
        <f>LOOKUP($A35,SUMMARY!$A$4:$A$96,SUMMARY!$BO$4:$BO$96)</f>
        <v>94.945099999999996</v>
      </c>
      <c r="G35" s="398">
        <f>LOOKUP($A35,SUMMARY!$A$4:$A$96,SUMMARY!$BR$4:$BR$96)</f>
        <v>4</v>
      </c>
      <c r="H35" s="397">
        <f>LOOKUP($A35,SUMMARY!$A$4:$A$96,SUMMARY!$AC$4:$AC$96)</f>
        <v>1.5867281448233521</v>
      </c>
      <c r="I35" s="398">
        <f>LOOKUP($A35,SUMMARY!$A$4:$A$96,SUMMARY!$BG$4:$BG$96)</f>
        <v>0</v>
      </c>
      <c r="J35" s="397">
        <v>0.47499999999999998</v>
      </c>
      <c r="W35" s="397">
        <v>0.47499999999999998</v>
      </c>
    </row>
    <row r="36" spans="1:23" s="400" customFormat="1" x14ac:dyDescent="0.35">
      <c r="A36" s="399">
        <v>70</v>
      </c>
      <c r="J36" s="400">
        <v>5.1999999999999998E-2</v>
      </c>
      <c r="O36" s="391" t="str">
        <f>LOOKUP($A36,SUMMARY!$A$4:$A$96,SUMMARY!$B$4:$B$96)</f>
        <v>Gorham Pond</v>
      </c>
      <c r="P36" s="400">
        <f>LOOKUP($A36,SUMMARY!$A$4:$A$96,SUMMARY!$C$4:$C$96)</f>
        <v>70</v>
      </c>
      <c r="Q36" s="400">
        <f>LOOKUP($A36,SUMMARY!$A$4:$A$96,SUMMARY!$AA$4:$AA$96)</f>
        <v>6.2462042922612294E-2</v>
      </c>
      <c r="R36" s="401">
        <f>LOOKUP($A36,SUMMARY!$A$4:$A$96,SUMMARY!$I$4:$I$96)</f>
        <v>15.292636040360208</v>
      </c>
      <c r="S36" s="401">
        <f>LOOKUP($A36,SUMMARY!$A$4:$A$96,SUMMARY!$BO$4:$BO$96)</f>
        <v>10.4162</v>
      </c>
      <c r="T36" s="401">
        <f>LOOKUP($A36,SUMMARY!$A$4:$A$96,SUMMARY!$BR$4:$BR$96)</f>
        <v>3</v>
      </c>
      <c r="U36" s="400">
        <f>LOOKUP($A36,SUMMARY!$A$4:$A$96,SUMMARY!$AC$4:$AC$96)</f>
        <v>2.8502447749251734</v>
      </c>
      <c r="V36" s="401">
        <f>LOOKUP($A36,SUMMARY!$A$4:$A$96,SUMMARY!$BG$4:$BG$96)</f>
        <v>0</v>
      </c>
      <c r="W36" s="402">
        <v>5.1999999999999998E-2</v>
      </c>
    </row>
    <row r="37" spans="1:23" s="400" customFormat="1" x14ac:dyDescent="0.35">
      <c r="A37" s="399">
        <v>53</v>
      </c>
      <c r="J37" s="400">
        <v>0.5</v>
      </c>
      <c r="O37" s="391" t="str">
        <f>LOOKUP($A37,SUMMARY!$A$4:$A$96,SUMMARY!$B$4:$B$96)</f>
        <v>Lewis Gut</v>
      </c>
      <c r="P37" s="400">
        <f>LOOKUP($A37,SUMMARY!$A$4:$A$96,SUMMARY!$C$4:$C$96)</f>
        <v>53</v>
      </c>
      <c r="Q37" s="400">
        <f>LOOKUP($A37,SUMMARY!$A$4:$A$96,SUMMARY!$AA$4:$AA$96)</f>
        <v>3.4868854102755634E-3</v>
      </c>
      <c r="R37" s="401">
        <f>LOOKUP($A37,SUMMARY!$A$4:$A$96,SUMMARY!$I$4:$I$96)</f>
        <v>15.930925849345483</v>
      </c>
      <c r="S37" s="401">
        <f>LOOKUP($A37,SUMMARY!$A$4:$A$96,SUMMARY!$BO$4:$BO$96)</f>
        <v>103.50369999999999</v>
      </c>
      <c r="T37" s="401">
        <f>LOOKUP($A37,SUMMARY!$A$4:$A$96,SUMMARY!$BR$4:$BR$96)</f>
        <v>0</v>
      </c>
      <c r="U37" s="400">
        <f>LOOKUP($A37,SUMMARY!$A$4:$A$96,SUMMARY!$AC$4:$AC$96)</f>
        <v>2.6910301154912433</v>
      </c>
      <c r="V37" s="401">
        <f>LOOKUP($A37,SUMMARY!$A$4:$A$96,SUMMARY!$BG$4:$BG$96)</f>
        <v>0</v>
      </c>
      <c r="W37" s="402">
        <v>0.5</v>
      </c>
    </row>
    <row r="38" spans="1:23" x14ac:dyDescent="0.35">
      <c r="A38" s="396">
        <v>21</v>
      </c>
      <c r="B38" s="385" t="str">
        <f>LOOKUP($A38,SUMMARY!$A$4:$A$96,SUMMARY!$B$4:$B$96)</f>
        <v>Gardners Pond</v>
      </c>
      <c r="C38" s="397">
        <f>LOOKUP($A38,SUMMARY!$A$4:$A$96,SUMMARY!$C$4:$C$96)</f>
        <v>21</v>
      </c>
      <c r="D38" s="397">
        <f>LOOKUP($A38,SUMMARY!$A$4:$A$96,SUMMARY!$AA$4:$AA$96)</f>
        <v>5.9232055631457175E-3</v>
      </c>
      <c r="E38" s="398">
        <f>LOOKUP($A38,SUMMARY!$A$4:$A$96,SUMMARY!$I$4:$I$96)</f>
        <v>16.191883151900175</v>
      </c>
      <c r="F38" s="398">
        <f>LOOKUP($A38,SUMMARY!$A$4:$A$96,SUMMARY!$BO$4:$BO$96)</f>
        <v>1.3704000000000001</v>
      </c>
      <c r="G38" s="398">
        <f>LOOKUP($A38,SUMMARY!$A$4:$A$96,SUMMARY!$BR$4:$BR$96)</f>
        <v>3</v>
      </c>
      <c r="H38" s="397">
        <f>LOOKUP($A38,SUMMARY!$A$4:$A$96,SUMMARY!$AC$4:$AC$96)</f>
        <v>1.8670885655135769</v>
      </c>
      <c r="I38" s="398">
        <f>LOOKUP($A38,SUMMARY!$A$4:$A$96,SUMMARY!$BG$4:$BG$96)</f>
        <v>0</v>
      </c>
      <c r="J38" s="397">
        <v>0.05</v>
      </c>
      <c r="W38" s="397">
        <v>0.05</v>
      </c>
    </row>
    <row r="39" spans="1:23" x14ac:dyDescent="0.35">
      <c r="A39" s="396">
        <v>13</v>
      </c>
      <c r="B39" s="385" t="str">
        <f>LOOKUP($A39,SUMMARY!$A$4:$A$96,SUMMARY!$B$4:$B$96)</f>
        <v>Venetian Harbor</v>
      </c>
      <c r="C39" s="397">
        <f>LOOKUP($A39,SUMMARY!$A$4:$A$96,SUMMARY!$C$4:$C$96)</f>
        <v>13</v>
      </c>
      <c r="D39" s="397">
        <f>LOOKUP($A39,SUMMARY!$A$4:$A$96,SUMMARY!$AA$4:$AA$96)</f>
        <v>2.523369996848331E-3</v>
      </c>
      <c r="E39" s="398">
        <f>LOOKUP($A39,SUMMARY!$A$4:$A$96,SUMMARY!$I$4:$I$96)</f>
        <v>17.764250218487398</v>
      </c>
      <c r="F39" s="398">
        <f>LOOKUP($A39,SUMMARY!$A$4:$A$96,SUMMARY!$BO$4:$BO$96)</f>
        <v>8.1395999999999997</v>
      </c>
      <c r="G39" s="398">
        <f>LOOKUP($A39,SUMMARY!$A$4:$A$96,SUMMARY!$BR$4:$BR$96)</f>
        <v>4</v>
      </c>
      <c r="H39" s="397">
        <f>LOOKUP($A39,SUMMARY!$A$4:$A$96,SUMMARY!$AC$4:$AC$96)</f>
        <v>3.8004005429116816</v>
      </c>
      <c r="I39" s="398">
        <f>LOOKUP($A39,SUMMARY!$A$4:$A$96,SUMMARY!$BG$4:$BG$96)</f>
        <v>0</v>
      </c>
      <c r="J39" s="397">
        <v>0.05</v>
      </c>
      <c r="W39" s="397">
        <v>0.05</v>
      </c>
    </row>
    <row r="40" spans="1:23" x14ac:dyDescent="0.35">
      <c r="A40" s="396">
        <v>20</v>
      </c>
      <c r="B40" s="385" t="str">
        <f>LOOKUP($A40,SUMMARY!$A$4:$A$96,SUMMARY!$B$4:$B$96)</f>
        <v>Jordan Cove</v>
      </c>
      <c r="C40" s="397">
        <f>LOOKUP($A40,SUMMARY!$A$4:$A$96,SUMMARY!$C$4:$C$96)</f>
        <v>20</v>
      </c>
      <c r="D40" s="397">
        <f>LOOKUP($A40,SUMMARY!$A$4:$A$96,SUMMARY!$AA$4:$AA$96)</f>
        <v>5.6196389493230692E-2</v>
      </c>
      <c r="E40" s="398">
        <f>LOOKUP($A40,SUMMARY!$A$4:$A$96,SUMMARY!$I$4:$I$96)</f>
        <v>19.073099827156376</v>
      </c>
      <c r="F40" s="398">
        <f>LOOKUP($A40,SUMMARY!$A$4:$A$96,SUMMARY!$BO$4:$BO$96)</f>
        <v>54.560299999999998</v>
      </c>
      <c r="G40" s="398">
        <f>LOOKUP($A40,SUMMARY!$A$4:$A$96,SUMMARY!$BR$4:$BR$96)</f>
        <v>4</v>
      </c>
      <c r="H40" s="397">
        <f>LOOKUP($A40,SUMMARY!$A$4:$A$96,SUMMARY!$AC$4:$AC$96)</f>
        <v>1.4118098140732855</v>
      </c>
      <c r="I40" s="398">
        <f>LOOKUP($A40,SUMMARY!$A$4:$A$96,SUMMARY!$BG$4:$BG$96)</f>
        <v>0</v>
      </c>
      <c r="J40" s="397">
        <v>0.27300000000000002</v>
      </c>
      <c r="W40" s="397">
        <v>0.27300000000000002</v>
      </c>
    </row>
    <row r="41" spans="1:23" x14ac:dyDescent="0.35">
      <c r="A41" s="396">
        <v>37</v>
      </c>
      <c r="B41" s="385" t="str">
        <f>LOOKUP($A41,SUMMARY!$A$4:$A$96,SUMMARY!$B$4:$B$96)</f>
        <v>Toms Creek</v>
      </c>
      <c r="C41" s="397">
        <f>LOOKUP($A41,SUMMARY!$A$4:$A$96,SUMMARY!$C$4:$C$96)</f>
        <v>37</v>
      </c>
      <c r="D41" s="397">
        <f>LOOKUP($A41,SUMMARY!$A$4:$A$96,SUMMARY!$AA$4:$AA$96)</f>
        <v>0.12410487237907457</v>
      </c>
      <c r="E41" s="398">
        <f>LOOKUP($A41,SUMMARY!$A$4:$A$96,SUMMARY!$I$4:$I$96)</f>
        <v>19.167574308348076</v>
      </c>
      <c r="F41" s="398">
        <f>LOOKUP($A41,SUMMARY!$A$4:$A$96,SUMMARY!$BO$4:$BO$96)</f>
        <v>1.5714999999999999</v>
      </c>
      <c r="G41" s="398">
        <f>LOOKUP($A41,SUMMARY!$A$4:$A$96,SUMMARY!$BR$4:$BR$96)</f>
        <v>0</v>
      </c>
      <c r="H41" s="397">
        <f>LOOKUP($A41,SUMMARY!$A$4:$A$96,SUMMARY!$AC$4:$AC$96)</f>
        <v>3.427309626604262</v>
      </c>
      <c r="I41" s="398">
        <f>LOOKUP($A41,SUMMARY!$A$4:$A$96,SUMMARY!$BG$4:$BG$96)</f>
        <v>0</v>
      </c>
      <c r="J41" s="397">
        <v>0.05</v>
      </c>
      <c r="W41" s="397">
        <v>0.05</v>
      </c>
    </row>
    <row r="42" spans="1:23" x14ac:dyDescent="0.35">
      <c r="A42" s="396">
        <v>26</v>
      </c>
      <c r="B42" s="385" t="str">
        <f>LOOKUP($A42,SUMMARY!$A$4:$A$96,SUMMARY!$B$4:$B$96)</f>
        <v>Four Mile River</v>
      </c>
      <c r="C42" s="397">
        <f>LOOKUP($A42,SUMMARY!$A$4:$A$96,SUMMARY!$C$4:$C$96)</f>
        <v>26</v>
      </c>
      <c r="D42" s="397">
        <f>LOOKUP($A42,SUMMARY!$A$4:$A$96,SUMMARY!$AA$4:$AA$96)</f>
        <v>0.22141986238987602</v>
      </c>
      <c r="E42" s="398">
        <f>LOOKUP($A42,SUMMARY!$A$4:$A$96,SUMMARY!$I$4:$I$96)</f>
        <v>19.824016804401751</v>
      </c>
      <c r="F42" s="398">
        <f>LOOKUP($A42,SUMMARY!$A$4:$A$96,SUMMARY!$BO$4:$BO$96)</f>
        <v>7.9423000000000004</v>
      </c>
      <c r="G42" s="398">
        <f>LOOKUP($A42,SUMMARY!$A$4:$A$96,SUMMARY!$BR$4:$BR$96)</f>
        <v>3</v>
      </c>
      <c r="H42" s="397">
        <f>LOOKUP($A42,SUMMARY!$A$4:$A$96,SUMMARY!$AC$4:$AC$96)</f>
        <v>0.7481458178891246</v>
      </c>
      <c r="I42" s="398">
        <f>LOOKUP($A42,SUMMARY!$A$4:$A$96,SUMMARY!$BG$4:$BG$96)</f>
        <v>0</v>
      </c>
      <c r="J42" s="397">
        <v>0.05</v>
      </c>
      <c r="W42" s="397">
        <v>0.05</v>
      </c>
    </row>
    <row r="43" spans="1:23" x14ac:dyDescent="0.35">
      <c r="A43" s="396">
        <v>36</v>
      </c>
      <c r="B43" s="385" t="str">
        <f>LOOKUP($A43,SUMMARY!$A$4:$A$96,SUMMARY!$B$4:$B$96)</f>
        <v>Clinton Harbor</v>
      </c>
      <c r="C43" s="397">
        <f>LOOKUP($A43,SUMMARY!$A$4:$A$96,SUMMARY!$C$4:$C$96)</f>
        <v>36</v>
      </c>
      <c r="D43" s="397">
        <f>LOOKUP($A43,SUMMARY!$A$4:$A$96,SUMMARY!$AA$4:$AA$96)</f>
        <v>2.7376966440314426E-2</v>
      </c>
      <c r="E43" s="398">
        <f>LOOKUP($A43,SUMMARY!$A$4:$A$96,SUMMARY!$I$4:$I$96)</f>
        <v>22.510537169211535</v>
      </c>
      <c r="F43" s="398">
        <f>LOOKUP($A43,SUMMARY!$A$4:$A$96,SUMMARY!$BO$4:$BO$96)</f>
        <v>311.24770000000001</v>
      </c>
      <c r="G43" s="398">
        <f>LOOKUP($A43,SUMMARY!$A$4:$A$96,SUMMARY!$BR$4:$BR$96)</f>
        <v>0</v>
      </c>
      <c r="H43" s="397">
        <f>LOOKUP($A43,SUMMARY!$A$4:$A$96,SUMMARY!$AC$4:$AC$96)</f>
        <v>1.6741803997963216</v>
      </c>
      <c r="I43" s="398">
        <f>LOOKUP($A43,SUMMARY!$A$4:$A$96,SUMMARY!$BG$4:$BG$96)</f>
        <v>0</v>
      </c>
      <c r="J43" s="397">
        <v>0.5</v>
      </c>
      <c r="W43" s="397">
        <v>0.5</v>
      </c>
    </row>
    <row r="44" spans="1:23" s="400" customFormat="1" x14ac:dyDescent="0.35">
      <c r="A44" s="399">
        <v>61</v>
      </c>
      <c r="J44" s="400">
        <v>0.216</v>
      </c>
      <c r="O44" s="391" t="str">
        <f>LOOKUP($A44,SUMMARY!$A$4:$A$96,SUMMARY!$B$4:$B$96)</f>
        <v>Sherwood Millpond</v>
      </c>
      <c r="P44" s="400">
        <f>LOOKUP($A44,SUMMARY!$A$4:$A$96,SUMMARY!$C$4:$C$96)</f>
        <v>61</v>
      </c>
      <c r="Q44" s="400">
        <f>LOOKUP($A44,SUMMARY!$A$4:$A$96,SUMMARY!$AA$4:$AA$96)</f>
        <v>1.3521017077364314E-2</v>
      </c>
      <c r="R44" s="401">
        <f>LOOKUP($A44,SUMMARY!$A$4:$A$96,SUMMARY!$I$4:$I$96)</f>
        <v>22.657901209892064</v>
      </c>
      <c r="S44" s="401">
        <f>LOOKUP($A44,SUMMARY!$A$4:$A$96,SUMMARY!$BO$4:$BO$96)</f>
        <v>43.109299999999998</v>
      </c>
      <c r="T44" s="401">
        <f>LOOKUP($A44,SUMMARY!$A$4:$A$96,SUMMARY!$BR$4:$BR$96)</f>
        <v>1</v>
      </c>
      <c r="U44" s="400">
        <f>LOOKUP($A44,SUMMARY!$A$4:$A$96,SUMMARY!$AC$4:$AC$96)</f>
        <v>5.1230753378142104</v>
      </c>
      <c r="V44" s="401">
        <f>LOOKUP($A44,SUMMARY!$A$4:$A$96,SUMMARY!$BG$4:$BG$96)</f>
        <v>0</v>
      </c>
      <c r="W44" s="402">
        <v>0.216</v>
      </c>
    </row>
    <row r="45" spans="1:23" s="400" customFormat="1" x14ac:dyDescent="0.35">
      <c r="A45" s="399">
        <v>8</v>
      </c>
      <c r="J45" s="400">
        <v>0.05</v>
      </c>
      <c r="O45" s="391" t="str">
        <f>LOOKUP($A45,SUMMARY!$A$4:$A$96,SUMMARY!$B$4:$B$96)</f>
        <v>Williams Cove</v>
      </c>
      <c r="P45" s="400">
        <f>LOOKUP($A45,SUMMARY!$A$4:$A$96,SUMMARY!$C$4:$C$96)</f>
        <v>8</v>
      </c>
      <c r="Q45" s="400">
        <f>LOOKUP($A45,SUMMARY!$A$4:$A$96,SUMMARY!$AA$4:$AA$96)</f>
        <v>0.10758025200055754</v>
      </c>
      <c r="R45" s="401">
        <f>LOOKUP($A45,SUMMARY!$A$4:$A$96,SUMMARY!$I$4:$I$96)</f>
        <v>24.864586834406659</v>
      </c>
      <c r="S45" s="401">
        <f>LOOKUP($A45,SUMMARY!$A$4:$A$96,SUMMARY!$BO$4:$BO$96)</f>
        <v>5.7454000000000001</v>
      </c>
      <c r="T45" s="401">
        <f>LOOKUP($A45,SUMMARY!$A$4:$A$96,SUMMARY!$BR$4:$BR$96)</f>
        <v>3</v>
      </c>
      <c r="U45" s="400">
        <f>LOOKUP($A45,SUMMARY!$A$4:$A$96,SUMMARY!$AC$4:$AC$96)</f>
        <v>3.8032229219704687</v>
      </c>
      <c r="V45" s="401">
        <f>LOOKUP($A45,SUMMARY!$A$4:$A$96,SUMMARY!$BG$4:$BG$96)</f>
        <v>0</v>
      </c>
      <c r="W45" s="402">
        <v>0.05</v>
      </c>
    </row>
    <row r="46" spans="1:23" x14ac:dyDescent="0.35">
      <c r="A46" s="396">
        <v>27</v>
      </c>
      <c r="B46" s="385" t="str">
        <f>LOOKUP($A46,SUMMARY!$A$4:$A$96,SUMMARY!$B$4:$B$96)</f>
        <v>Threemile River</v>
      </c>
      <c r="C46" s="397">
        <f>LOOKUP($A46,SUMMARY!$A$4:$A$96,SUMMARY!$C$4:$C$96)</f>
        <v>27</v>
      </c>
      <c r="D46" s="397">
        <f>LOOKUP($A46,SUMMARY!$A$4:$A$96,SUMMARY!$AA$4:$AA$96)</f>
        <v>9.4477430939643475E-2</v>
      </c>
      <c r="E46" s="398">
        <f>LOOKUP($A46,SUMMARY!$A$4:$A$96,SUMMARY!$I$4:$I$96)</f>
        <v>26.335083960302921</v>
      </c>
      <c r="F46" s="398">
        <f>LOOKUP($A46,SUMMARY!$A$4:$A$96,SUMMARY!$BO$4:$BO$96)</f>
        <v>4.0406000000000004</v>
      </c>
      <c r="G46" s="398">
        <f>LOOKUP($A46,SUMMARY!$A$4:$A$96,SUMMARY!$BR$4:$BR$96)</f>
        <v>4</v>
      </c>
      <c r="H46" s="397">
        <f>LOOKUP($A46,SUMMARY!$A$4:$A$96,SUMMARY!$AC$4:$AC$96)</f>
        <v>1.2365681557295334</v>
      </c>
      <c r="I46" s="398">
        <f>LOOKUP($A46,SUMMARY!$A$4:$A$96,SUMMARY!$BG$4:$BG$96)</f>
        <v>0</v>
      </c>
      <c r="J46" s="397">
        <v>0.05</v>
      </c>
      <c r="W46" s="397">
        <v>0.05</v>
      </c>
    </row>
    <row r="47" spans="1:23" x14ac:dyDescent="0.35">
      <c r="A47" s="396">
        <v>28</v>
      </c>
      <c r="B47" s="385" t="str">
        <f>LOOKUP($A47,SUMMARY!$A$4:$A$96,SUMMARY!$B$4:$B$96)</f>
        <v>Black Hall River</v>
      </c>
      <c r="C47" s="397">
        <f>LOOKUP($A47,SUMMARY!$A$4:$A$96,SUMMARY!$C$4:$C$96)</f>
        <v>28</v>
      </c>
      <c r="D47" s="397">
        <f>LOOKUP($A47,SUMMARY!$A$4:$A$96,SUMMARY!$AA$4:$AA$96)</f>
        <v>3.2358493863182812E-2</v>
      </c>
      <c r="E47" s="398">
        <f>LOOKUP($A47,SUMMARY!$A$4:$A$96,SUMMARY!$I$4:$I$96)</f>
        <v>26.535245136861743</v>
      </c>
      <c r="F47" s="398">
        <f>LOOKUP($A47,SUMMARY!$A$4:$A$96,SUMMARY!$BO$4:$BO$96)</f>
        <v>39.449300000000001</v>
      </c>
      <c r="G47" s="398">
        <f>LOOKUP($A47,SUMMARY!$A$4:$A$96,SUMMARY!$BR$4:$BR$96)</f>
        <v>2</v>
      </c>
      <c r="H47" s="397">
        <f>LOOKUP($A47,SUMMARY!$A$4:$A$96,SUMMARY!$AC$4:$AC$96)</f>
        <v>1.7282658222647516</v>
      </c>
      <c r="I47" s="398">
        <f>LOOKUP($A47,SUMMARY!$A$4:$A$96,SUMMARY!$BG$4:$BG$96)</f>
        <v>0</v>
      </c>
      <c r="J47" s="397">
        <v>0.19700000000000001</v>
      </c>
      <c r="W47" s="397">
        <v>0.19700000000000001</v>
      </c>
    </row>
    <row r="48" spans="1:23" x14ac:dyDescent="0.35">
      <c r="A48" s="396">
        <v>18</v>
      </c>
      <c r="B48" s="385" t="str">
        <f>LOOKUP($A48,SUMMARY!$A$4:$A$96,SUMMARY!$B$4:$B$96)</f>
        <v>Alewife Cove</v>
      </c>
      <c r="C48" s="397">
        <f>LOOKUP($A48,SUMMARY!$A$4:$A$96,SUMMARY!$C$4:$C$96)</f>
        <v>18</v>
      </c>
      <c r="D48" s="397">
        <f>LOOKUP($A48,SUMMARY!$A$4:$A$96,SUMMARY!$AA$4:$AA$96)</f>
        <v>3.0671574724700446E-2</v>
      </c>
      <c r="E48" s="398">
        <f>LOOKUP($A48,SUMMARY!$A$4:$A$96,SUMMARY!$I$4:$I$96)</f>
        <v>33.251665623616589</v>
      </c>
      <c r="F48" s="398">
        <f>LOOKUP($A48,SUMMARY!$A$4:$A$96,SUMMARY!$BO$4:$BO$96)</f>
        <v>16.734000000000002</v>
      </c>
      <c r="G48" s="398">
        <f>LOOKUP($A48,SUMMARY!$A$4:$A$96,SUMMARY!$BR$4:$BR$96)</f>
        <v>3</v>
      </c>
      <c r="H48" s="397">
        <f>LOOKUP($A48,SUMMARY!$A$4:$A$96,SUMMARY!$AC$4:$AC$96)</f>
        <v>2.2268019687149296</v>
      </c>
      <c r="I48" s="398">
        <f>LOOKUP($A48,SUMMARY!$A$4:$A$96,SUMMARY!$BG$4:$BG$96)</f>
        <v>0</v>
      </c>
      <c r="J48" s="397">
        <v>8.4000000000000005E-2</v>
      </c>
      <c r="W48" s="397">
        <v>8.4000000000000005E-2</v>
      </c>
    </row>
    <row r="49" spans="1:23" x14ac:dyDescent="0.35">
      <c r="A49" s="396">
        <v>59</v>
      </c>
      <c r="B49" s="385" t="str">
        <f>LOOKUP($A49,SUMMARY!$A$4:$A$96,SUMMARY!$B$4:$B$96)</f>
        <v>Mill River</v>
      </c>
      <c r="C49" s="397">
        <f>LOOKUP($A49,SUMMARY!$A$4:$A$96,SUMMARY!$C$4:$C$96)</f>
        <v>59</v>
      </c>
      <c r="D49" s="397">
        <f>LOOKUP($A49,SUMMARY!$A$4:$A$96,SUMMARY!$AA$4:$AA$96)</f>
        <v>0.12857339872777321</v>
      </c>
      <c r="E49" s="398">
        <f>LOOKUP($A49,SUMMARY!$A$4:$A$96,SUMMARY!$I$4:$I$96)</f>
        <v>35.642327097952645</v>
      </c>
      <c r="F49" s="398">
        <f>LOOKUP($A49,SUMMARY!$A$4:$A$96,SUMMARY!$BO$4:$BO$96)</f>
        <v>26.385200000000001</v>
      </c>
      <c r="G49" s="398">
        <f>LOOKUP($A49,SUMMARY!$A$4:$A$96,SUMMARY!$BR$4:$BR$96)</f>
        <v>2</v>
      </c>
      <c r="H49" s="397">
        <f>LOOKUP($A49,SUMMARY!$A$4:$A$96,SUMMARY!$AC$4:$AC$96)</f>
        <v>1.7149729337851458</v>
      </c>
      <c r="I49" s="398">
        <f>LOOKUP($A49,SUMMARY!$A$4:$A$96,SUMMARY!$BG$4:$BG$96)</f>
        <v>0</v>
      </c>
      <c r="J49" s="397">
        <v>0.13200000000000001</v>
      </c>
      <c r="W49" s="397">
        <v>0.13200000000000001</v>
      </c>
    </row>
    <row r="50" spans="1:23" x14ac:dyDescent="0.35">
      <c r="A50" s="396">
        <v>57</v>
      </c>
      <c r="B50" s="385" t="str">
        <f>LOOKUP($A50,SUMMARY!$A$4:$A$96,SUMMARY!$B$4:$B$96)</f>
        <v>Ash Creek</v>
      </c>
      <c r="C50" s="397">
        <f>LOOKUP($A50,SUMMARY!$A$4:$A$96,SUMMARY!$C$4:$C$96)</f>
        <v>57</v>
      </c>
      <c r="D50" s="397">
        <f>LOOKUP($A50,SUMMARY!$A$4:$A$96,SUMMARY!$AA$4:$AA$96)</f>
        <v>2.9895581129148738E-2</v>
      </c>
      <c r="E50" s="398">
        <f>LOOKUP($A50,SUMMARY!$A$4:$A$96,SUMMARY!$I$4:$I$96)</f>
        <v>35.831254017030133</v>
      </c>
      <c r="F50" s="398">
        <f>LOOKUP($A50,SUMMARY!$A$4:$A$96,SUMMARY!$BO$4:$BO$96)</f>
        <v>39.430100000000003</v>
      </c>
      <c r="G50" s="398">
        <f>LOOKUP($A50,SUMMARY!$A$4:$A$96,SUMMARY!$BR$4:$BR$96)</f>
        <v>2</v>
      </c>
      <c r="H50" s="397">
        <f>LOOKUP($A50,SUMMARY!$A$4:$A$96,SUMMARY!$AC$4:$AC$96)</f>
        <v>2.2919833000612071</v>
      </c>
      <c r="I50" s="398">
        <f>LOOKUP($A50,SUMMARY!$A$4:$A$96,SUMMARY!$BG$4:$BG$96)</f>
        <v>0</v>
      </c>
      <c r="J50" s="397">
        <v>0.19700000000000001</v>
      </c>
      <c r="W50" s="397">
        <v>0.19700000000000001</v>
      </c>
    </row>
    <row r="51" spans="1:23" x14ac:dyDescent="0.35">
      <c r="A51" s="396">
        <v>39</v>
      </c>
      <c r="B51" s="385" t="str">
        <f>LOOKUP($A51,SUMMARY!$A$4:$A$96,SUMMARY!$B$4:$B$96)</f>
        <v>Guilford Harbor</v>
      </c>
      <c r="C51" s="397">
        <f>LOOKUP($A51,SUMMARY!$A$4:$A$96,SUMMARY!$C$4:$C$96)</f>
        <v>39</v>
      </c>
      <c r="D51" s="397">
        <f>LOOKUP($A51,SUMMARY!$A$4:$A$96,SUMMARY!$AA$4:$AA$96)</f>
        <v>3.8314047771024387E-2</v>
      </c>
      <c r="E51" s="398">
        <f>LOOKUP($A51,SUMMARY!$A$4:$A$96,SUMMARY!$I$4:$I$96)</f>
        <v>36.242509010306527</v>
      </c>
      <c r="F51" s="398">
        <f>LOOKUP($A51,SUMMARY!$A$4:$A$96,SUMMARY!$BO$4:$BO$96)</f>
        <v>182.24369999999999</v>
      </c>
      <c r="G51" s="398">
        <f>LOOKUP($A51,SUMMARY!$A$4:$A$96,SUMMARY!$BR$4:$BR$96)</f>
        <v>0</v>
      </c>
      <c r="H51" s="397">
        <f>LOOKUP($A51,SUMMARY!$A$4:$A$96,SUMMARY!$AC$4:$AC$96)</f>
        <v>1.8961690214522566</v>
      </c>
      <c r="I51" s="398">
        <f>LOOKUP($A51,SUMMARY!$A$4:$A$96,SUMMARY!$BG$4:$BG$96)</f>
        <v>0</v>
      </c>
      <c r="J51" s="397">
        <v>0.5</v>
      </c>
      <c r="W51" s="397">
        <v>0.5</v>
      </c>
    </row>
    <row r="52" spans="1:23" x14ac:dyDescent="0.35">
      <c r="A52" s="396">
        <v>24</v>
      </c>
      <c r="B52" s="385" t="str">
        <f>LOOKUP($A52,SUMMARY!$A$4:$A$96,SUMMARY!$B$4:$B$96)</f>
        <v>Pattagansett River</v>
      </c>
      <c r="C52" s="397">
        <f>LOOKUP($A52,SUMMARY!$A$4:$A$96,SUMMARY!$C$4:$C$96)</f>
        <v>24</v>
      </c>
      <c r="D52" s="397">
        <f>LOOKUP($A52,SUMMARY!$A$4:$A$96,SUMMARY!$AA$4:$AA$96)</f>
        <v>0.17092831183885301</v>
      </c>
      <c r="E52" s="398">
        <f>LOOKUP($A52,SUMMARY!$A$4:$A$96,SUMMARY!$I$4:$I$96)</f>
        <v>44.472311514994274</v>
      </c>
      <c r="F52" s="398">
        <f>LOOKUP($A52,SUMMARY!$A$4:$A$96,SUMMARY!$BO$4:$BO$96)</f>
        <v>12.4681</v>
      </c>
      <c r="G52" s="398">
        <f>LOOKUP($A52,SUMMARY!$A$4:$A$96,SUMMARY!$BR$4:$BR$96)</f>
        <v>3</v>
      </c>
      <c r="H52" s="397">
        <f>LOOKUP($A52,SUMMARY!$A$4:$A$96,SUMMARY!$AC$4:$AC$96)</f>
        <v>0.94176307029497475</v>
      </c>
      <c r="I52" s="398">
        <f>LOOKUP($A52,SUMMARY!$A$4:$A$96,SUMMARY!$BG$4:$BG$96)</f>
        <v>0</v>
      </c>
      <c r="J52" s="397">
        <v>6.2E-2</v>
      </c>
      <c r="W52" s="397">
        <v>6.2E-2</v>
      </c>
    </row>
    <row r="53" spans="1:23" x14ac:dyDescent="0.35">
      <c r="A53" s="396">
        <v>47</v>
      </c>
      <c r="B53" s="385" t="str">
        <f>LOOKUP($A53,SUMMARY!$A$4:$A$96,SUMMARY!$B$4:$B$96)</f>
        <v>Farm River</v>
      </c>
      <c r="C53" s="397">
        <f>LOOKUP($A53,SUMMARY!$A$4:$A$96,SUMMARY!$C$4:$C$96)</f>
        <v>47</v>
      </c>
      <c r="D53" s="397">
        <f>LOOKUP($A53,SUMMARY!$A$4:$A$96,SUMMARY!$AA$4:$AA$96)</f>
        <v>7.1905581919366565E-2</v>
      </c>
      <c r="E53" s="398">
        <f>LOOKUP($A53,SUMMARY!$A$4:$A$96,SUMMARY!$I$4:$I$96)</f>
        <v>49.802322191467852</v>
      </c>
      <c r="F53" s="398">
        <f>LOOKUP($A53,SUMMARY!$A$4:$A$96,SUMMARY!$BO$4:$BO$96)</f>
        <v>42.141800000000003</v>
      </c>
      <c r="G53" s="398">
        <f>LOOKUP($A53,SUMMARY!$A$4:$A$96,SUMMARY!$BR$4:$BR$96)</f>
        <v>0</v>
      </c>
      <c r="H53" s="397">
        <f>LOOKUP($A53,SUMMARY!$A$4:$A$96,SUMMARY!$AC$4:$AC$96)</f>
        <v>2.4278953663800209</v>
      </c>
      <c r="I53" s="398">
        <f>LOOKUP($A53,SUMMARY!$A$4:$A$96,SUMMARY!$BG$4:$BG$96)</f>
        <v>0</v>
      </c>
      <c r="J53" s="397">
        <v>0.21099999999999999</v>
      </c>
      <c r="W53" s="397">
        <v>0.21099999999999999</v>
      </c>
    </row>
    <row r="54" spans="1:23" x14ac:dyDescent="0.35">
      <c r="A54" s="396">
        <v>31</v>
      </c>
      <c r="B54" s="385" t="str">
        <f>LOOKUP($A54,SUMMARY!$A$4:$A$96,SUMMARY!$B$4:$B$96)</f>
        <v>Indiantown Harbor</v>
      </c>
      <c r="C54" s="397">
        <f>LOOKUP($A54,SUMMARY!$A$4:$A$96,SUMMARY!$C$4:$C$96)</f>
        <v>31</v>
      </c>
      <c r="D54" s="397">
        <f>LOOKUP($A54,SUMMARY!$A$4:$A$96,SUMMARY!$AA$4:$AA$96)</f>
        <v>1.6848940891859891E-2</v>
      </c>
      <c r="E54" s="398">
        <f>LOOKUP($A54,SUMMARY!$A$4:$A$96,SUMMARY!$I$4:$I$96)</f>
        <v>52.283744680381687</v>
      </c>
      <c r="F54" s="398">
        <f>LOOKUP($A54,SUMMARY!$A$4:$A$96,SUMMARY!$BO$4:$BO$96)</f>
        <v>14.378399999999999</v>
      </c>
      <c r="G54" s="398">
        <f>LOOKUP($A54,SUMMARY!$A$4:$A$96,SUMMARY!$BR$4:$BR$96)</f>
        <v>0</v>
      </c>
      <c r="H54" s="397">
        <f>LOOKUP($A54,SUMMARY!$A$4:$A$96,SUMMARY!$AC$4:$AC$96)</f>
        <v>5.8339110537037708</v>
      </c>
      <c r="I54" s="398">
        <f>LOOKUP($A54,SUMMARY!$A$4:$A$96,SUMMARY!$BG$4:$BG$96)</f>
        <v>0</v>
      </c>
      <c r="J54" s="397">
        <v>7.1999999999999995E-2</v>
      </c>
      <c r="W54" s="397">
        <v>7.1999999999999995E-2</v>
      </c>
    </row>
    <row r="55" spans="1:23" x14ac:dyDescent="0.35">
      <c r="A55" s="396">
        <v>60</v>
      </c>
      <c r="B55" s="385" t="str">
        <f>LOOKUP($A55,SUMMARY!$A$4:$A$96,SUMMARY!$B$4:$B$96)</f>
        <v>Sasco Brook</v>
      </c>
      <c r="C55" s="397">
        <f>LOOKUP($A55,SUMMARY!$A$4:$A$96,SUMMARY!$C$4:$C$96)</f>
        <v>60</v>
      </c>
      <c r="D55" s="397">
        <f>LOOKUP($A55,SUMMARY!$A$4:$A$96,SUMMARY!$AA$4:$AA$96)</f>
        <v>0.17722209650132434</v>
      </c>
      <c r="E55" s="398">
        <f>LOOKUP($A55,SUMMARY!$A$4:$A$96,SUMMARY!$I$4:$I$96)</f>
        <v>55.726555535919417</v>
      </c>
      <c r="F55" s="398">
        <f>LOOKUP($A55,SUMMARY!$A$4:$A$96,SUMMARY!$BO$4:$BO$96)</f>
        <v>5.4497</v>
      </c>
      <c r="G55" s="398">
        <f>LOOKUP($A55,SUMMARY!$A$4:$A$96,SUMMARY!$BR$4:$BR$96)</f>
        <v>0</v>
      </c>
      <c r="H55" s="397">
        <f>LOOKUP($A55,SUMMARY!$A$4:$A$96,SUMMARY!$AC$4:$AC$96)</f>
        <v>2.101889294301134</v>
      </c>
      <c r="I55" s="398">
        <f>LOOKUP($A55,SUMMARY!$A$4:$A$96,SUMMARY!$BG$4:$BG$96)</f>
        <v>0</v>
      </c>
      <c r="J55" s="397">
        <v>0.05</v>
      </c>
      <c r="W55" s="397">
        <v>0.05</v>
      </c>
    </row>
    <row r="56" spans="1:23" x14ac:dyDescent="0.35">
      <c r="A56" s="396">
        <v>25</v>
      </c>
      <c r="B56" s="385" t="str">
        <f>LOOKUP($A56,SUMMARY!$A$4:$A$96,SUMMARY!$B$4:$B$96)</f>
        <v>Bride Brook</v>
      </c>
      <c r="C56" s="397">
        <f>LOOKUP($A56,SUMMARY!$A$4:$A$96,SUMMARY!$C$4:$C$96)</f>
        <v>25</v>
      </c>
      <c r="D56" s="397">
        <f>LOOKUP($A56,SUMMARY!$A$4:$A$96,SUMMARY!$AA$4:$AA$96)</f>
        <v>0.13440462942583487</v>
      </c>
      <c r="E56" s="398">
        <f>LOOKUP($A56,SUMMARY!$A$4:$A$96,SUMMARY!$I$4:$I$96)</f>
        <v>78.540607353043285</v>
      </c>
      <c r="F56" s="398">
        <f>LOOKUP($A56,SUMMARY!$A$4:$A$96,SUMMARY!$BO$4:$BO$96)</f>
        <v>7.2011000000000003</v>
      </c>
      <c r="G56" s="398">
        <f>LOOKUP($A56,SUMMARY!$A$4:$A$96,SUMMARY!$BR$4:$BR$96)</f>
        <v>3</v>
      </c>
      <c r="H56" s="397">
        <f>LOOKUP($A56,SUMMARY!$A$4:$A$96,SUMMARY!$AC$4:$AC$96)</f>
        <v>1.3131090886797743</v>
      </c>
      <c r="I56" s="398">
        <f>LOOKUP($A56,SUMMARY!$A$4:$A$96,SUMMARY!$BG$4:$BG$96)</f>
        <v>0</v>
      </c>
      <c r="J56" s="397">
        <v>0.05</v>
      </c>
      <c r="W56" s="397">
        <v>0.05</v>
      </c>
    </row>
    <row r="57" spans="1:23" x14ac:dyDescent="0.35">
      <c r="A57" s="396">
        <v>35</v>
      </c>
      <c r="B57" s="385" t="str">
        <f>LOOKUP($A57,SUMMARY!$A$4:$A$96,SUMMARY!$B$4:$B$96)</f>
        <v>Menunkesucket River</v>
      </c>
      <c r="C57" s="397">
        <f>LOOKUP($A57,SUMMARY!$A$4:$A$96,SUMMARY!$C$4:$C$96)</f>
        <v>35</v>
      </c>
      <c r="D57" s="397">
        <f>LOOKUP($A57,SUMMARY!$A$4:$A$96,SUMMARY!$AA$4:$AA$96)</f>
        <v>0.11229171453592685</v>
      </c>
      <c r="E57" s="398">
        <f>LOOKUP($A57,SUMMARY!$A$4:$A$96,SUMMARY!$I$4:$I$96)</f>
        <v>79.884860675226221</v>
      </c>
      <c r="F57" s="398">
        <f>LOOKUP($A57,SUMMARY!$A$4:$A$96,SUMMARY!$BO$4:$BO$96)</f>
        <v>25.484200000000001</v>
      </c>
      <c r="G57" s="398">
        <f>LOOKUP($A57,SUMMARY!$A$4:$A$96,SUMMARY!$BR$4:$BR$96)</f>
        <v>3</v>
      </c>
      <c r="H57" s="397">
        <f>LOOKUP($A57,SUMMARY!$A$4:$A$96,SUMMARY!$AC$4:$AC$96)</f>
        <v>1.0771337666236618</v>
      </c>
      <c r="I57" s="398">
        <f>LOOKUP($A57,SUMMARY!$A$4:$A$96,SUMMARY!$BG$4:$BG$96)</f>
        <v>0</v>
      </c>
      <c r="J57" s="397">
        <v>0.127</v>
      </c>
      <c r="W57" s="397">
        <v>0.127</v>
      </c>
    </row>
    <row r="58" spans="1:23" x14ac:dyDescent="0.35">
      <c r="A58" s="396">
        <v>32</v>
      </c>
      <c r="B58" s="385" t="str">
        <f>LOOKUP($A58,SUMMARY!$A$4:$A$96,SUMMARY!$B$4:$B$96)</f>
        <v>Oyster River, Old Saybrook</v>
      </c>
      <c r="C58" s="397">
        <f>LOOKUP($A58,SUMMARY!$A$4:$A$96,SUMMARY!$C$4:$C$96)</f>
        <v>32</v>
      </c>
      <c r="D58" s="397">
        <f>LOOKUP($A58,SUMMARY!$A$4:$A$96,SUMMARY!$AA$4:$AA$96)</f>
        <v>0.12529495423094977</v>
      </c>
      <c r="E58" s="398">
        <f>LOOKUP($A58,SUMMARY!$A$4:$A$96,SUMMARY!$I$4:$I$96)</f>
        <v>89.782859190536783</v>
      </c>
      <c r="F58" s="398">
        <f>LOOKUP($A58,SUMMARY!$A$4:$A$96,SUMMARY!$BO$4:$BO$96)</f>
        <v>10.685600000000001</v>
      </c>
      <c r="G58" s="398">
        <f>LOOKUP($A58,SUMMARY!$A$4:$A$96,SUMMARY!$BR$4:$BR$96)</f>
        <v>0</v>
      </c>
      <c r="H58" s="397">
        <f>LOOKUP($A58,SUMMARY!$A$4:$A$96,SUMMARY!$AC$4:$AC$96)</f>
        <v>1.6628382098422323</v>
      </c>
      <c r="I58" s="398">
        <f>LOOKUP($A58,SUMMARY!$A$4:$A$96,SUMMARY!$BG$4:$BG$96)</f>
        <v>0</v>
      </c>
      <c r="J58" s="397">
        <v>5.2999999999999999E-2</v>
      </c>
      <c r="W58" s="397">
        <v>5.2999999999999999E-2</v>
      </c>
    </row>
    <row r="59" spans="1:23" x14ac:dyDescent="0.35">
      <c r="A59" s="396">
        <v>58</v>
      </c>
      <c r="B59" s="385" t="str">
        <f>LOOKUP($A59,SUMMARY!$A$4:$A$96,SUMMARY!$B$4:$B$96)</f>
        <v>Pine Creek</v>
      </c>
      <c r="C59" s="397">
        <f>LOOKUP($A59,SUMMARY!$A$4:$A$96,SUMMARY!$C$4:$C$96)</f>
        <v>58</v>
      </c>
      <c r="D59" s="397">
        <f>LOOKUP($A59,SUMMARY!$A$4:$A$96,SUMMARY!$AA$4:$AA$96)</f>
        <v>2.1769373278678807E-2</v>
      </c>
      <c r="E59" s="398">
        <f>LOOKUP($A59,SUMMARY!$A$4:$A$96,SUMMARY!$I$4:$I$96)</f>
        <v>98.195434116627368</v>
      </c>
      <c r="F59" s="398">
        <f>LOOKUP($A59,SUMMARY!$A$4:$A$96,SUMMARY!$BO$4:$BO$96)</f>
        <v>10.8165</v>
      </c>
      <c r="G59" s="398">
        <f>LOOKUP($A59,SUMMARY!$A$4:$A$96,SUMMARY!$BR$4:$BR$96)</f>
        <v>2</v>
      </c>
      <c r="H59" s="397">
        <f>LOOKUP($A59,SUMMARY!$A$4:$A$96,SUMMARY!$AC$4:$AC$96)</f>
        <v>3.1798174316477925</v>
      </c>
      <c r="I59" s="398">
        <f>LOOKUP($A59,SUMMARY!$A$4:$A$96,SUMMARY!$BG$4:$BG$96)</f>
        <v>0</v>
      </c>
      <c r="J59" s="397">
        <v>5.3999999999999999E-2</v>
      </c>
      <c r="W59" s="397">
        <v>5.3999999999999999E-2</v>
      </c>
    </row>
    <row r="60" spans="1:23" x14ac:dyDescent="0.35">
      <c r="A60" s="396">
        <v>38</v>
      </c>
      <c r="B60" s="385" t="str">
        <f>LOOKUP($A60,SUMMARY!$A$4:$A$96,SUMMARY!$B$4:$B$96)</f>
        <v>Fence Creek</v>
      </c>
      <c r="C60" s="397">
        <f>LOOKUP($A60,SUMMARY!$A$4:$A$96,SUMMARY!$C$4:$C$96)</f>
        <v>38</v>
      </c>
      <c r="D60" s="397">
        <f>LOOKUP($A60,SUMMARY!$A$4:$A$96,SUMMARY!$AA$4:$AA$96)</f>
        <v>0.11867433381214364</v>
      </c>
      <c r="E60" s="398">
        <f>LOOKUP($A60,SUMMARY!$A$4:$A$96,SUMMARY!$I$4:$I$96)</f>
        <v>101.72576562132589</v>
      </c>
      <c r="F60" s="398">
        <f>LOOKUP($A60,SUMMARY!$A$4:$A$96,SUMMARY!$BO$4:$BO$96)</f>
        <v>1.8644000000000001</v>
      </c>
      <c r="G60" s="398">
        <f>LOOKUP($A60,SUMMARY!$A$4:$A$96,SUMMARY!$BR$4:$BR$96)</f>
        <v>0</v>
      </c>
      <c r="H60" s="397">
        <f>LOOKUP($A60,SUMMARY!$A$4:$A$96,SUMMARY!$AC$4:$AC$96)</f>
        <v>3.4346891231034711</v>
      </c>
      <c r="I60" s="398">
        <f>LOOKUP($A60,SUMMARY!$A$4:$A$96,SUMMARY!$BG$4:$BG$96)</f>
        <v>0</v>
      </c>
      <c r="J60" s="397">
        <v>0.05</v>
      </c>
      <c r="W60" s="397">
        <v>0.05</v>
      </c>
    </row>
    <row r="61" spans="1:23" x14ac:dyDescent="0.35">
      <c r="A61" s="396">
        <v>49</v>
      </c>
      <c r="B61" s="385" t="str">
        <f>LOOKUP($A61,SUMMARY!$A$4:$A$96,SUMMARY!$B$4:$B$96)</f>
        <v>Oyster River, Milford</v>
      </c>
      <c r="C61" s="397">
        <f>LOOKUP($A61,SUMMARY!$A$4:$A$96,SUMMARY!$C$4:$C$96)</f>
        <v>49</v>
      </c>
      <c r="D61" s="397">
        <f>LOOKUP($A61,SUMMARY!$A$4:$A$96,SUMMARY!$AA$4:$AA$96)</f>
        <v>0.13895734859353284</v>
      </c>
      <c r="E61" s="398">
        <f>LOOKUP($A61,SUMMARY!$A$4:$A$96,SUMMARY!$I$4:$I$96)</f>
        <v>108.97937863858948</v>
      </c>
      <c r="F61" s="398">
        <f>LOOKUP($A61,SUMMARY!$A$4:$A$96,SUMMARY!$BO$4:$BO$96)</f>
        <v>3.2101999999999999</v>
      </c>
      <c r="G61" s="398">
        <f>LOOKUP($A61,SUMMARY!$A$4:$A$96,SUMMARY!$BR$4:$BR$96)</f>
        <v>0</v>
      </c>
      <c r="H61" s="397">
        <f>LOOKUP($A61,SUMMARY!$A$4:$A$96,SUMMARY!$AC$4:$AC$96)</f>
        <v>3.9281101699547194</v>
      </c>
      <c r="I61" s="398">
        <f>LOOKUP($A61,SUMMARY!$A$4:$A$96,SUMMARY!$BG$4:$BG$96)</f>
        <v>0</v>
      </c>
      <c r="J61" s="397">
        <v>0.05</v>
      </c>
      <c r="W61" s="397">
        <v>0.05</v>
      </c>
    </row>
    <row r="62" spans="1:23" x14ac:dyDescent="0.35">
      <c r="A62" s="396">
        <v>50</v>
      </c>
      <c r="B62" s="385" t="str">
        <f>LOOKUP($A62,SUMMARY!$A$4:$A$96,SUMMARY!$B$4:$B$96)</f>
        <v>Calf Pen Meadow Creek</v>
      </c>
      <c r="C62" s="397">
        <f>LOOKUP($A62,SUMMARY!$A$4:$A$96,SUMMARY!$C$4:$C$96)</f>
        <v>50</v>
      </c>
      <c r="D62" s="397">
        <f>LOOKUP($A62,SUMMARY!$A$4:$A$96,SUMMARY!$AA$4:$AA$96)</f>
        <v>0.10554136375693048</v>
      </c>
      <c r="E62" s="398">
        <f>LOOKUP($A62,SUMMARY!$A$4:$A$96,SUMMARY!$I$4:$I$96)</f>
        <v>112.37440281861046</v>
      </c>
      <c r="F62" s="398">
        <f>LOOKUP($A62,SUMMARY!$A$4:$A$96,SUMMARY!$BO$4:$BO$96)</f>
        <v>1.1241000000000001</v>
      </c>
      <c r="G62" s="398">
        <f>LOOKUP($A62,SUMMARY!$A$4:$A$96,SUMMARY!$BR$4:$BR$96)</f>
        <v>0</v>
      </c>
      <c r="H62" s="397">
        <f>LOOKUP($A62,SUMMARY!$A$4:$A$96,SUMMARY!$AC$4:$AC$96)</f>
        <v>3.2801098567429143</v>
      </c>
      <c r="I62" s="398">
        <f>LOOKUP($A62,SUMMARY!$A$4:$A$96,SUMMARY!$BG$4:$BG$96)</f>
        <v>0</v>
      </c>
      <c r="J62" s="397">
        <v>0.05</v>
      </c>
      <c r="W62" s="397">
        <v>0.05</v>
      </c>
    </row>
    <row r="63" spans="1:23" x14ac:dyDescent="0.35">
      <c r="A63" s="396">
        <v>34</v>
      </c>
      <c r="B63" s="385" t="str">
        <f>LOOKUP($A63,SUMMARY!$A$4:$A$96,SUMMARY!$B$4:$B$96)</f>
        <v>Patchogue River</v>
      </c>
      <c r="C63" s="397">
        <f>LOOKUP($A63,SUMMARY!$A$4:$A$96,SUMMARY!$C$4:$C$96)</f>
        <v>34</v>
      </c>
      <c r="D63" s="397">
        <f>LOOKUP($A63,SUMMARY!$A$4:$A$96,SUMMARY!$AA$4:$AA$96)</f>
        <v>7.7499942664106258E-2</v>
      </c>
      <c r="E63" s="398">
        <f>LOOKUP($A63,SUMMARY!$A$4:$A$96,SUMMARY!$I$4:$I$96)</f>
        <v>134.67415247074149</v>
      </c>
      <c r="F63" s="398">
        <f>LOOKUP($A63,SUMMARY!$A$4:$A$96,SUMMARY!$BO$4:$BO$96)</f>
        <v>18.461300000000001</v>
      </c>
      <c r="G63" s="398">
        <f>LOOKUP($A63,SUMMARY!$A$4:$A$96,SUMMARY!$BR$4:$BR$96)</f>
        <v>0</v>
      </c>
      <c r="H63" s="397">
        <f>LOOKUP($A63,SUMMARY!$A$4:$A$96,SUMMARY!$AC$4:$AC$96)</f>
        <v>1.4979248412020412</v>
      </c>
      <c r="I63" s="398">
        <f>LOOKUP($A63,SUMMARY!$A$4:$A$96,SUMMARY!$BG$4:$BG$96)</f>
        <v>0</v>
      </c>
      <c r="J63" s="397">
        <v>9.1999999999999998E-2</v>
      </c>
      <c r="W63" s="397">
        <v>9.1999999999999998E-2</v>
      </c>
    </row>
    <row r="64" spans="1:23" x14ac:dyDescent="0.35">
      <c r="A64" s="396">
        <v>2</v>
      </c>
      <c r="B64" s="385" t="str">
        <f>LOOKUP($A64,SUMMARY!$A$4:$A$96,SUMMARY!$B$4:$B$96)</f>
        <v>Little Narragansett Bay</v>
      </c>
      <c r="C64" s="397">
        <f>LOOKUP($A64,SUMMARY!$A$4:$A$96,SUMMARY!$C$4:$C$96)</f>
        <v>2</v>
      </c>
      <c r="D64" s="397">
        <f>LOOKUP($A64,SUMMARY!$A$4:$A$96,SUMMARY!$AA$4:$AA$96)</f>
        <v>6.9559179084265621E-2</v>
      </c>
      <c r="E64" s="398">
        <f>LOOKUP($A64,SUMMARY!$A$4:$A$96,SUMMARY!$I$4:$I$96)</f>
        <v>3.2745346327254441</v>
      </c>
      <c r="F64" s="398">
        <f>LOOKUP($A64,SUMMARY!$A$4:$A$96,SUMMARY!$BO$4:$BO$96)</f>
        <v>330.81110000000001</v>
      </c>
      <c r="G64" s="398">
        <f>LOOKUP($A64,SUMMARY!$A$4:$A$96,SUMMARY!$BR$4:$BR$96)</f>
        <v>3</v>
      </c>
      <c r="H64" s="397">
        <f>LOOKUP($A64,SUMMARY!$A$4:$A$96,SUMMARY!$AC$4:$AC$96)</f>
        <v>1.7697418869801897</v>
      </c>
      <c r="I64" s="398">
        <f>LOOKUP($A64,SUMMARY!$A$4:$A$96,SUMMARY!$BG$4:$BG$96)</f>
        <v>19.863457170345178</v>
      </c>
      <c r="J64" s="397">
        <v>0.5</v>
      </c>
      <c r="W64" s="397">
        <v>0.5</v>
      </c>
    </row>
    <row r="65" spans="1:23" x14ac:dyDescent="0.35">
      <c r="A65" s="396">
        <v>66</v>
      </c>
      <c r="B65" s="385" t="str">
        <f>LOOKUP($A65,SUMMARY!$A$4:$A$96,SUMMARY!$B$4:$B$96)</f>
        <v>Norwalk Harbor</v>
      </c>
      <c r="C65" s="397">
        <f>LOOKUP($A65,SUMMARY!$A$4:$A$96,SUMMARY!$C$4:$C$96)</f>
        <v>66</v>
      </c>
      <c r="D65" s="397">
        <f>LOOKUP($A65,SUMMARY!$A$4:$A$96,SUMMARY!$AA$4:$AA$96)</f>
        <v>8.5798719259166933E-3</v>
      </c>
      <c r="E65" s="398">
        <f>LOOKUP($A65,SUMMARY!$A$4:$A$96,SUMMARY!$I$4:$I$96)</f>
        <v>3.8900343527749777</v>
      </c>
      <c r="F65" s="398">
        <f>LOOKUP($A65,SUMMARY!$A$4:$A$96,SUMMARY!$BO$4:$BO$96)</f>
        <v>685.07920000000001</v>
      </c>
      <c r="G65" s="398">
        <f>LOOKUP($A65,SUMMARY!$A$4:$A$96,SUMMARY!$BR$4:$BR$96)</f>
        <v>0</v>
      </c>
      <c r="H65" s="397">
        <f>LOOKUP($A65,SUMMARY!$A$4:$A$96,SUMMARY!$AC$4:$AC$96)</f>
        <v>5.9156734043351014</v>
      </c>
      <c r="I65" s="398">
        <f>LOOKUP($A65,SUMMARY!$A$4:$A$96,SUMMARY!$BG$4:$BG$96)</f>
        <v>67.423635674285038</v>
      </c>
      <c r="J65" s="397">
        <v>0.5</v>
      </c>
      <c r="W65" s="397">
        <v>0.5</v>
      </c>
    </row>
    <row r="66" spans="1:23" s="400" customFormat="1" x14ac:dyDescent="0.35">
      <c r="A66" s="399">
        <v>5</v>
      </c>
      <c r="J66" s="400">
        <v>0.5</v>
      </c>
      <c r="O66" s="391" t="str">
        <f>LOOKUP($A66,SUMMARY!$A$4:$A$96,SUMMARY!$B$4:$B$96)</f>
        <v>Stonington Harbor</v>
      </c>
      <c r="P66" s="400">
        <f>LOOKUP($A66,SUMMARY!$A$4:$A$96,SUMMARY!$C$4:$C$96)</f>
        <v>5</v>
      </c>
      <c r="Q66" s="400">
        <f>LOOKUP($A66,SUMMARY!$A$4:$A$96,SUMMARY!$AA$4:$AA$96)</f>
        <v>4.5986523994733051E-3</v>
      </c>
      <c r="R66" s="401">
        <f>LOOKUP($A66,SUMMARY!$A$4:$A$96,SUMMARY!$I$4:$I$96)</f>
        <v>4.6196977466593534</v>
      </c>
      <c r="S66" s="401">
        <f>LOOKUP($A66,SUMMARY!$A$4:$A$96,SUMMARY!$BO$4:$BO$96)</f>
        <v>179.76310000000001</v>
      </c>
      <c r="T66" s="401">
        <f>LOOKUP($A66,SUMMARY!$A$4:$A$96,SUMMARY!$BR$4:$BR$96)</f>
        <v>1</v>
      </c>
      <c r="U66" s="400">
        <f>LOOKUP($A66,SUMMARY!$A$4:$A$96,SUMMARY!$AC$4:$AC$96)</f>
        <v>3.3818755572069747</v>
      </c>
      <c r="V66" s="401">
        <f>LOOKUP($A66,SUMMARY!$A$4:$A$96,SUMMARY!$BG$4:$BG$96)</f>
        <v>21.266553771075618</v>
      </c>
      <c r="W66" s="402">
        <v>0.5</v>
      </c>
    </row>
    <row r="67" spans="1:23" s="400" customFormat="1" x14ac:dyDescent="0.35">
      <c r="A67" s="399">
        <v>54</v>
      </c>
      <c r="J67" s="400">
        <v>0.5</v>
      </c>
      <c r="O67" s="391" t="str">
        <f>LOOKUP($A67,SUMMARY!$A$4:$A$96,SUMMARY!$B$4:$B$96)</f>
        <v>Bridgeport Harbor</v>
      </c>
      <c r="P67" s="400">
        <f>LOOKUP($A67,SUMMARY!$A$4:$A$96,SUMMARY!$C$4:$C$96)</f>
        <v>54</v>
      </c>
      <c r="Q67" s="400">
        <f>LOOKUP($A67,SUMMARY!$A$4:$A$96,SUMMARY!$AA$4:$AA$96)</f>
        <v>3.4618786413861104E-2</v>
      </c>
      <c r="R67" s="401">
        <f>LOOKUP($A67,SUMMARY!$A$4:$A$96,SUMMARY!$I$4:$I$96)</f>
        <v>5.7171814534600536</v>
      </c>
      <c r="S67" s="401">
        <f>LOOKUP($A67,SUMMARY!$A$4:$A$96,SUMMARY!$BO$4:$BO$96)</f>
        <v>247.75919999999999</v>
      </c>
      <c r="T67" s="401">
        <f>LOOKUP($A67,SUMMARY!$A$4:$A$96,SUMMARY!$BR$4:$BR$96)</f>
        <v>0</v>
      </c>
      <c r="U67" s="400">
        <f>LOOKUP($A67,SUMMARY!$A$4:$A$96,SUMMARY!$AC$4:$AC$96)</f>
        <v>3.2606689868559409</v>
      </c>
      <c r="V67" s="401">
        <f>LOOKUP($A67,SUMMARY!$A$4:$A$96,SUMMARY!$BG$4:$BG$96)</f>
        <v>30.797167159745996</v>
      </c>
      <c r="W67" s="402">
        <v>0.5</v>
      </c>
    </row>
    <row r="68" spans="1:23" s="400" customFormat="1" x14ac:dyDescent="0.35">
      <c r="A68" s="399">
        <v>83</v>
      </c>
      <c r="J68" s="400">
        <v>0.35199999999999998</v>
      </c>
      <c r="O68" s="391" t="str">
        <f>LOOKUP($A68,SUMMARY!$A$4:$A$96,SUMMARY!$B$4:$B$96)</f>
        <v>Kirby Pond, NY</v>
      </c>
      <c r="P68" s="400">
        <f>LOOKUP($A68,SUMMARY!$A$4:$A$96,SUMMARY!$C$4:$C$96)</f>
        <v>83</v>
      </c>
      <c r="Q68" s="400">
        <f>LOOKUP($A68,SUMMARY!$A$4:$A$96,SUMMARY!$AA$4:$AA$96)</f>
        <v>3.816603067603052E-2</v>
      </c>
      <c r="R68" s="401">
        <f>LOOKUP($A68,SUMMARY!$A$4:$A$96,SUMMARY!$I$4:$I$96)</f>
        <v>5.9787402417122539</v>
      </c>
      <c r="S68" s="401">
        <f>LOOKUP($A68,SUMMARY!$A$4:$A$96,SUMMARY!$BO$4:$BO$96)</f>
        <v>70.396100000000004</v>
      </c>
      <c r="T68" s="401">
        <f>LOOKUP($A68,SUMMARY!$A$4:$A$96,SUMMARY!$BR$4:$BR$96)</f>
        <v>0</v>
      </c>
      <c r="U68" s="400">
        <f>LOOKUP($A68,SUMMARY!$A$4:$A$96,SUMMARY!$AC$4:$AC$96)</f>
        <v>2.425409245979405</v>
      </c>
      <c r="V68" s="401">
        <f>LOOKUP($A68,SUMMARY!$A$4:$A$96,SUMMARY!$BG$4:$BG$96)</f>
        <v>14.426440509315356</v>
      </c>
      <c r="W68" s="402">
        <v>0.35199999999999998</v>
      </c>
    </row>
    <row r="69" spans="1:23" x14ac:dyDescent="0.35">
      <c r="A69" s="396">
        <v>75</v>
      </c>
      <c r="B69" s="385" t="str">
        <f>LOOKUP($A69,SUMMARY!$A$4:$A$96,SUMMARY!$B$4:$B$96)</f>
        <v>Stamford Harbor</v>
      </c>
      <c r="C69" s="397">
        <f>LOOKUP($A69,SUMMARY!$A$4:$A$96,SUMMARY!$C$4:$C$96)</f>
        <v>75</v>
      </c>
      <c r="D69" s="397">
        <f>LOOKUP($A69,SUMMARY!$A$4:$A$96,SUMMARY!$AA$4:$AA$96)</f>
        <v>9.4696666516562202E-3</v>
      </c>
      <c r="E69" s="398">
        <f>LOOKUP($A69,SUMMARY!$A$4:$A$96,SUMMARY!$I$4:$I$96)</f>
        <v>5.4195496077763936</v>
      </c>
      <c r="F69" s="398">
        <f>LOOKUP($A69,SUMMARY!$A$4:$A$96,SUMMARY!$BO$4:$BO$96)</f>
        <v>310.41339101789998</v>
      </c>
      <c r="G69" s="398">
        <f>LOOKUP($A69,SUMMARY!$A$4:$A$96,SUMMARY!$BR$4:$BR$96)</f>
        <v>2</v>
      </c>
      <c r="H69" s="397">
        <f>LOOKUP($A69,SUMMARY!$A$4:$A$96,SUMMARY!$AC$4:$AC$96)</f>
        <v>6.3018851460032064</v>
      </c>
      <c r="I69" s="398">
        <f>LOOKUP($A69,SUMMARY!$A$4:$A$96,SUMMARY!$BG$4:$BG$96)</f>
        <v>49.931909438436357</v>
      </c>
      <c r="J69" s="397">
        <v>0.5</v>
      </c>
      <c r="W69" s="397">
        <v>0.5</v>
      </c>
    </row>
    <row r="70" spans="1:23" x14ac:dyDescent="0.35">
      <c r="A70" s="396">
        <v>68</v>
      </c>
      <c r="B70" s="385" t="str">
        <f>LOOKUP($A70,SUMMARY!$A$4:$A$96,SUMMARY!$B$4:$B$96)</f>
        <v>Five Mile River</v>
      </c>
      <c r="C70" s="397">
        <f>LOOKUP($A70,SUMMARY!$A$4:$A$96,SUMMARY!$C$4:$C$96)</f>
        <v>68</v>
      </c>
      <c r="D70" s="397">
        <f>LOOKUP($A70,SUMMARY!$A$4:$A$96,SUMMARY!$AA$4:$AA$96)</f>
        <v>2.871324836202516E-2</v>
      </c>
      <c r="E70" s="398">
        <f>LOOKUP($A70,SUMMARY!$A$4:$A$96,SUMMARY!$I$4:$I$96)</f>
        <v>9.6596714656223899</v>
      </c>
      <c r="F70" s="398">
        <f>LOOKUP($A70,SUMMARY!$A$4:$A$96,SUMMARY!$BO$4:$BO$96)</f>
        <v>42.517499999999998</v>
      </c>
      <c r="G70" s="398">
        <f>LOOKUP($A70,SUMMARY!$A$4:$A$96,SUMMARY!$BR$4:$BR$96)</f>
        <v>0</v>
      </c>
      <c r="H70" s="397">
        <f>LOOKUP($A70,SUMMARY!$A$4:$A$96,SUMMARY!$AC$4:$AC$96)</f>
        <v>2.6514476371732387</v>
      </c>
      <c r="I70" s="398">
        <f>LOOKUP($A70,SUMMARY!$A$4:$A$96,SUMMARY!$BG$4:$BG$96)</f>
        <v>20.609980217923127</v>
      </c>
      <c r="J70" s="397">
        <v>0.21299999999999999</v>
      </c>
      <c r="W70" s="397">
        <v>0.21299999999999999</v>
      </c>
    </row>
    <row r="71" spans="1:23" x14ac:dyDescent="0.35">
      <c r="A71" s="396">
        <v>56</v>
      </c>
      <c r="B71" s="385" t="str">
        <f>LOOKUP($A71,SUMMARY!$A$4:$A$96,SUMMARY!$B$4:$B$96)</f>
        <v>Black Rock Harbor</v>
      </c>
      <c r="C71" s="397">
        <f>LOOKUP($A71,SUMMARY!$A$4:$A$96,SUMMARY!$C$4:$C$96)</f>
        <v>56</v>
      </c>
      <c r="D71" s="397">
        <f>LOOKUP($A71,SUMMARY!$A$4:$A$96,SUMMARY!$AA$4:$AA$96)</f>
        <v>1.9248488548890734E-3</v>
      </c>
      <c r="E71" s="398">
        <f>LOOKUP($A71,SUMMARY!$A$4:$A$96,SUMMARY!$I$4:$I$96)</f>
        <v>9.9490326154546906</v>
      </c>
      <c r="F71" s="398">
        <f>LOOKUP($A71,SUMMARY!$A$4:$A$96,SUMMARY!$BO$4:$BO$96)</f>
        <v>111.0912</v>
      </c>
      <c r="G71" s="398">
        <f>LOOKUP($A71,SUMMARY!$A$4:$A$96,SUMMARY!$BR$4:$BR$96)</f>
        <v>0</v>
      </c>
      <c r="H71" s="397">
        <f>LOOKUP($A71,SUMMARY!$A$4:$A$96,SUMMARY!$AC$4:$AC$96)</f>
        <v>262.46003001901079</v>
      </c>
      <c r="I71" s="398">
        <f>LOOKUP($A71,SUMMARY!$A$4:$A$96,SUMMARY!$BG$4:$BG$96)</f>
        <v>98.513110665675569</v>
      </c>
      <c r="J71" s="397">
        <v>0.5</v>
      </c>
      <c r="W71" s="397">
        <v>0.5</v>
      </c>
    </row>
    <row r="72" spans="1:23" x14ac:dyDescent="0.35">
      <c r="A72" s="396">
        <v>48</v>
      </c>
      <c r="B72" s="385" t="str">
        <f>LOOKUP($A72,SUMMARY!$A$4:$A$96,SUMMARY!$B$4:$B$96)</f>
        <v>New Haven Harbor</v>
      </c>
      <c r="C72" s="397">
        <f>LOOKUP($A72,SUMMARY!$A$4:$A$96,SUMMARY!$C$4:$C$96)</f>
        <v>48</v>
      </c>
      <c r="D72" s="397">
        <f>LOOKUP($A72,SUMMARY!$A$4:$A$96,SUMMARY!$AA$4:$AA$96)</f>
        <v>8.4835645998468032E-3</v>
      </c>
      <c r="E72" s="398">
        <f>LOOKUP($A72,SUMMARY!$A$4:$A$96,SUMMARY!$I$4:$I$96)</f>
        <v>11.813287838916782</v>
      </c>
      <c r="F72" s="398">
        <f>LOOKUP($A72,SUMMARY!$A$4:$A$96,SUMMARY!$BO$4:$BO$96)</f>
        <v>3028.9810000000002</v>
      </c>
      <c r="G72" s="398">
        <f>LOOKUP($A72,SUMMARY!$A$4:$A$96,SUMMARY!$BR$4:$BR$96)</f>
        <v>0</v>
      </c>
      <c r="H72" s="397">
        <f>LOOKUP($A72,SUMMARY!$A$4:$A$96,SUMMARY!$AC$4:$AC$96)</f>
        <v>6.8606847522276189</v>
      </c>
      <c r="I72" s="398">
        <f>LOOKUP($A72,SUMMARY!$A$4:$A$96,SUMMARY!$BG$4:$BG$96)</f>
        <v>66.664944080765551</v>
      </c>
      <c r="J72" s="397">
        <v>0.5</v>
      </c>
      <c r="W72" s="397">
        <v>0.5</v>
      </c>
    </row>
    <row r="73" spans="1:23" x14ac:dyDescent="0.35">
      <c r="A73" s="396">
        <v>1</v>
      </c>
      <c r="B73" s="385" t="str">
        <f>LOOKUP($A73,SUMMARY!$A$4:$A$96,SUMMARY!$B$4:$B$96)</f>
        <v>Pawcatuck River, CT &amp; RI</v>
      </c>
      <c r="C73" s="397">
        <f>LOOKUP($A73,SUMMARY!$A$4:$A$96,SUMMARY!$C$4:$C$96)</f>
        <v>1</v>
      </c>
      <c r="D73" s="397">
        <f>LOOKUP($A73,SUMMARY!$A$4:$A$96,SUMMARY!$AA$4:$AA$96)</f>
        <v>0.23830978434408229</v>
      </c>
      <c r="E73" s="398">
        <f>LOOKUP($A73,SUMMARY!$A$4:$A$96,SUMMARY!$I$4:$I$96)</f>
        <v>15.056267130193271</v>
      </c>
      <c r="F73" s="398">
        <f>LOOKUP($A73,SUMMARY!$A$4:$A$96,SUMMARY!$BO$4:$BO$96)</f>
        <v>263.84620000000001</v>
      </c>
      <c r="G73" s="398">
        <f>LOOKUP($A73,SUMMARY!$A$4:$A$96,SUMMARY!$BR$4:$BR$96)</f>
        <v>2</v>
      </c>
      <c r="H73" s="397">
        <f>LOOKUP($A73,SUMMARY!$A$4:$A$96,SUMMARY!$AC$4:$AC$96)</f>
        <v>1.441226014016058</v>
      </c>
      <c r="I73" s="398">
        <f>LOOKUP($A73,SUMMARY!$A$4:$A$96,SUMMARY!$BG$4:$BG$96)</f>
        <v>25.295693204676734</v>
      </c>
      <c r="J73" s="397">
        <v>0.5</v>
      </c>
      <c r="W73" s="397">
        <v>0.5</v>
      </c>
    </row>
    <row r="74" spans="1:23" x14ac:dyDescent="0.35">
      <c r="A74" s="396">
        <v>64</v>
      </c>
      <c r="B74" s="385" t="str">
        <f>LOOKUP($A74,SUMMARY!$A$4:$A$96,SUMMARY!$B$4:$B$96)</f>
        <v>Saugatuck River</v>
      </c>
      <c r="C74" s="397">
        <f>LOOKUP($A74,SUMMARY!$A$4:$A$96,SUMMARY!$C$4:$C$96)</f>
        <v>64</v>
      </c>
      <c r="D74" s="397">
        <f>LOOKUP($A74,SUMMARY!$A$4:$A$96,SUMMARY!$AA$4:$AA$96)</f>
        <v>3.4256192559547614E-2</v>
      </c>
      <c r="E74" s="398">
        <f>LOOKUP($A74,SUMMARY!$A$4:$A$96,SUMMARY!$I$4:$I$96)</f>
        <v>16.410896043925703</v>
      </c>
      <c r="F74" s="398">
        <f>LOOKUP($A74,SUMMARY!$A$4:$A$96,SUMMARY!$BO$4:$BO$96)</f>
        <v>249.7672</v>
      </c>
      <c r="G74" s="398">
        <f>LOOKUP($A74,SUMMARY!$A$4:$A$96,SUMMARY!$BR$4:$BR$96)</f>
        <v>0</v>
      </c>
      <c r="H74" s="397">
        <f>LOOKUP($A74,SUMMARY!$A$4:$A$96,SUMMARY!$AC$4:$AC$96)</f>
        <v>2.2353546359452592</v>
      </c>
      <c r="I74" s="398">
        <f>LOOKUP($A74,SUMMARY!$A$4:$A$96,SUMMARY!$BG$4:$BG$96)</f>
        <v>5.7900516404899616</v>
      </c>
      <c r="J74" s="397">
        <v>0.5</v>
      </c>
      <c r="W74" s="397">
        <v>0.5</v>
      </c>
    </row>
    <row r="75" spans="1:23" x14ac:dyDescent="0.35">
      <c r="A75" s="396">
        <v>45</v>
      </c>
      <c r="B75" s="385" t="str">
        <f>LOOKUP($A75,SUMMARY!$A$4:$A$96,SUMMARY!$B$4:$B$96)</f>
        <v>Branford Harbor</v>
      </c>
      <c r="C75" s="397">
        <f>LOOKUP($A75,SUMMARY!$A$4:$A$96,SUMMARY!$C$4:$C$96)</f>
        <v>45</v>
      </c>
      <c r="D75" s="397">
        <f>LOOKUP($A75,SUMMARY!$A$4:$A$96,SUMMARY!$AA$4:$AA$96)</f>
        <v>1.1844353956276159E-2</v>
      </c>
      <c r="E75" s="398">
        <f>LOOKUP($A75,SUMMARY!$A$4:$A$96,SUMMARY!$I$4:$I$96)</f>
        <v>21.542202451082151</v>
      </c>
      <c r="F75" s="398">
        <f>LOOKUP($A75,SUMMARY!$A$4:$A$96,SUMMARY!$BO$4:$BO$96)</f>
        <v>270.24900000000002</v>
      </c>
      <c r="G75" s="398">
        <f>LOOKUP($A75,SUMMARY!$A$4:$A$96,SUMMARY!$BR$4:$BR$96)</f>
        <v>1</v>
      </c>
      <c r="H75" s="397">
        <f>LOOKUP($A75,SUMMARY!$A$4:$A$96,SUMMARY!$AC$4:$AC$96)</f>
        <v>2.9789397301015494</v>
      </c>
      <c r="I75" s="398">
        <f>LOOKUP($A75,SUMMARY!$A$4:$A$96,SUMMARY!$BG$4:$BG$96)</f>
        <v>41.49635640876361</v>
      </c>
      <c r="J75" s="397">
        <v>0.5</v>
      </c>
      <c r="W75" s="397">
        <v>0.5</v>
      </c>
    </row>
    <row r="76" spans="1:23" s="400" customFormat="1" x14ac:dyDescent="0.35">
      <c r="A76" s="399">
        <v>9</v>
      </c>
      <c r="J76" s="400">
        <v>0.5</v>
      </c>
      <c r="O76" s="391" t="str">
        <f>LOOKUP($A76,SUMMARY!$A$4:$A$96,SUMMARY!$B$4:$B$96)</f>
        <v>Mystic River</v>
      </c>
      <c r="P76" s="400">
        <f>LOOKUP($A76,SUMMARY!$A$4:$A$96,SUMMARY!$C$4:$C$96)</f>
        <v>9</v>
      </c>
      <c r="Q76" s="400">
        <f>LOOKUP($A76,SUMMARY!$A$4:$A$96,SUMMARY!$AA$4:$AA$96)</f>
        <v>5.5325550689683742E-2</v>
      </c>
      <c r="R76" s="401">
        <f>LOOKUP($A76,SUMMARY!$A$4:$A$96,SUMMARY!$I$4:$I$96)</f>
        <v>22.474629874882648</v>
      </c>
      <c r="S76" s="401">
        <f>LOOKUP($A76,SUMMARY!$A$4:$A$96,SUMMARY!$BO$4:$BO$96)</f>
        <v>117.17</v>
      </c>
      <c r="T76" s="401">
        <f>LOOKUP($A76,SUMMARY!$A$4:$A$96,SUMMARY!$BR$4:$BR$96)</f>
        <v>3</v>
      </c>
      <c r="U76" s="400">
        <f>LOOKUP($A76,SUMMARY!$A$4:$A$96,SUMMARY!$AC$4:$AC$96)</f>
        <v>2.3536303335136854</v>
      </c>
      <c r="V76" s="401">
        <f>LOOKUP($A76,SUMMARY!$A$4:$A$96,SUMMARY!$BG$4:$BG$96)</f>
        <v>30.481005816629974</v>
      </c>
      <c r="W76" s="402">
        <v>0.5</v>
      </c>
    </row>
    <row r="77" spans="1:23" s="400" customFormat="1" x14ac:dyDescent="0.35">
      <c r="A77" s="399">
        <v>55</v>
      </c>
      <c r="J77" s="400">
        <v>0.10100000000000001</v>
      </c>
      <c r="O77" s="391" t="str">
        <f>LOOKUP($A77,SUMMARY!$A$4:$A$96,SUMMARY!$B$4:$B$96)</f>
        <v>Pequonnock River</v>
      </c>
      <c r="P77" s="400">
        <f>LOOKUP($A77,SUMMARY!$A$4:$A$96,SUMMARY!$C$4:$C$96)</f>
        <v>55</v>
      </c>
      <c r="Q77" s="400">
        <f>LOOKUP($A77,SUMMARY!$A$4:$A$96,SUMMARY!$AA$4:$AA$96)</f>
        <v>0.17270118473732457</v>
      </c>
      <c r="R77" s="401">
        <f>LOOKUP($A77,SUMMARY!$A$4:$A$96,SUMMARY!$I$4:$I$96)</f>
        <v>38.721231862266642</v>
      </c>
      <c r="S77" s="401">
        <f>LOOKUP($A77,SUMMARY!$A$4:$A$96,SUMMARY!$BO$4:$BO$96)</f>
        <v>20.183199999999999</v>
      </c>
      <c r="T77" s="401">
        <f>LOOKUP($A77,SUMMARY!$A$4:$A$96,SUMMARY!$BR$4:$BR$96)</f>
        <v>0</v>
      </c>
      <c r="U77" s="400">
        <f>LOOKUP($A77,SUMMARY!$A$4:$A$96,SUMMARY!$AC$4:$AC$96)</f>
        <v>4.0497831892452796</v>
      </c>
      <c r="V77" s="401">
        <f>LOOKUP($A77,SUMMARY!$A$4:$A$96,SUMMARY!$BG$4:$BG$96)</f>
        <v>52.131167274356841</v>
      </c>
      <c r="W77" s="402">
        <v>0.10100000000000001</v>
      </c>
    </row>
    <row r="78" spans="1:23" s="400" customFormat="1" x14ac:dyDescent="0.35">
      <c r="A78" s="399">
        <v>82</v>
      </c>
      <c r="J78" s="400">
        <v>6.2E-2</v>
      </c>
      <c r="O78" s="391" t="str">
        <f>LOOKUP($A78,SUMMARY!$A$4:$A$96,SUMMARY!$B$4:$B$96)</f>
        <v>Byram River</v>
      </c>
      <c r="P78" s="400">
        <f>LOOKUP($A78,SUMMARY!$A$4:$A$96,SUMMARY!$C$4:$C$96)</f>
        <v>82</v>
      </c>
      <c r="Q78" s="400">
        <f>LOOKUP($A78,SUMMARY!$A$4:$A$96,SUMMARY!$AA$4:$AA$96)</f>
        <v>0.21135326145182456</v>
      </c>
      <c r="R78" s="401">
        <f>LOOKUP($A78,SUMMARY!$A$4:$A$96,SUMMARY!$I$4:$I$96)</f>
        <v>63.703977460563166</v>
      </c>
      <c r="S78" s="401">
        <f>LOOKUP($A78,SUMMARY!$A$4:$A$96,SUMMARY!$BO$4:$BO$96)</f>
        <v>12.319699999999999</v>
      </c>
      <c r="T78" s="401">
        <f>LOOKUP($A78,SUMMARY!$A$4:$A$96,SUMMARY!$BR$4:$BR$96)</f>
        <v>0</v>
      </c>
      <c r="U78" s="400">
        <f>LOOKUP($A78,SUMMARY!$A$4:$A$96,SUMMARY!$AC$4:$AC$96)</f>
        <v>1.9772491863902559</v>
      </c>
      <c r="V78" s="401">
        <f>LOOKUP($A78,SUMMARY!$A$4:$A$96,SUMMARY!$BG$4:$BG$96)</f>
        <v>15.64931463493151</v>
      </c>
      <c r="W78" s="402">
        <v>6.2E-2</v>
      </c>
    </row>
    <row r="79" spans="1:23" s="406" customFormat="1" x14ac:dyDescent="0.35">
      <c r="A79" s="409">
        <v>23.5</v>
      </c>
      <c r="B79" s="410" t="str">
        <f>LOOKUP($A79,SUMMARY!$A$4:$A$96,SUMMARY!$B$4:$B$96)</f>
        <v>Niantic River + Niantic Bay</v>
      </c>
      <c r="C79" s="406" t="str">
        <f>LOOKUP($A79,SUMMARY!$A$4:$A$96,SUMMARY!$C$4:$C$96)</f>
        <v>22-23</v>
      </c>
      <c r="D79" s="406">
        <f>LOOKUP($A79,SUMMARY!$A$4:$A$96,SUMMARY!$AA$4:$AA$96)</f>
        <v>6.2996448057065597E-3</v>
      </c>
      <c r="E79" s="411">
        <f>LOOKUP($A79,SUMMARY!$A$4:$A$96,SUMMARY!$I$4:$I$96)</f>
        <v>7.9297133489500533</v>
      </c>
      <c r="F79" s="411">
        <f>LOOKUP($A79,SUMMARY!$A$4:$A$96,SUMMARY!$BO$4:$BO$96)</f>
        <v>1135.4754</v>
      </c>
      <c r="G79" s="411">
        <f>LOOKUP($A79,SUMMARY!$A$4:$A$96,SUMMARY!$BR$4:$BR$96)</f>
        <v>2</v>
      </c>
      <c r="H79" s="406">
        <f>LOOKUP($A79,SUMMARY!$A$4:$A$96,SUMMARY!$AC$4:$AC$96)</f>
        <v>1.7976049856566469</v>
      </c>
      <c r="I79" s="411">
        <f>LOOKUP($A79,SUMMARY!$A$4:$A$96,SUMMARY!$BG$4:$BG$96)</f>
        <v>0</v>
      </c>
      <c r="J79" s="404">
        <v>0.5</v>
      </c>
      <c r="O79" s="410" t="str">
        <f>LOOKUP($A79,SUMMARY!$A$4:$A$96,SUMMARY!$B$4:$B$96)</f>
        <v>Niantic River + Niantic Bay</v>
      </c>
      <c r="P79" s="406" t="str">
        <f>LOOKUP($A79,SUMMARY!$A$4:$A$96,SUMMARY!$C$4:$C$96)</f>
        <v>22-23</v>
      </c>
      <c r="Q79" s="406">
        <f>LOOKUP($A79,SUMMARY!$A$4:$A$96,SUMMARY!$AA$4:$AA$96)</f>
        <v>6.2996448057065597E-3</v>
      </c>
      <c r="R79" s="411">
        <f>LOOKUP($A79,SUMMARY!$A$4:$A$96,SUMMARY!$I$4:$I$96)</f>
        <v>7.9297133489500533</v>
      </c>
      <c r="S79" s="411">
        <f>LOOKUP($A79,SUMMARY!$A$4:$A$96,SUMMARY!$BO$4:$BO$96)</f>
        <v>1135.4754</v>
      </c>
      <c r="T79" s="411">
        <f>LOOKUP($A79,SUMMARY!$A$4:$A$96,SUMMARY!$BR$4:$BR$96)</f>
        <v>2</v>
      </c>
      <c r="U79" s="406">
        <f>LOOKUP($A79,SUMMARY!$A$4:$A$96,SUMMARY!$AC$4:$AC$96)</f>
        <v>1.7976049856566469</v>
      </c>
      <c r="V79" s="411">
        <f>LOOKUP($A79,SUMMARY!$A$4:$A$96,SUMMARY!$BG$4:$BG$96)</f>
        <v>0</v>
      </c>
      <c r="W79" s="404">
        <v>0.5</v>
      </c>
    </row>
    <row r="80" spans="1:23" s="406" customFormat="1" x14ac:dyDescent="0.35">
      <c r="A80" s="403">
        <v>55.5</v>
      </c>
      <c r="B80" s="392" t="str">
        <f>LOOKUP($A80,SUMMARY!$A$4:$A$96,SUMMARY!$B$4:$B$96)</f>
        <v>Lewis Gut + Bridgeport H. + Pequonnock R.</v>
      </c>
      <c r="C80" s="404" t="str">
        <f>LOOKUP($A80,SUMMARY!$A$4:$A$96,SUMMARY!$C$4:$C$96)</f>
        <v>53-54-55</v>
      </c>
      <c r="D80" s="404">
        <f>LOOKUP($A80,SUMMARY!$A$4:$A$96,SUMMARY!$AA$4:$AA$96)</f>
        <v>2.2361878386665982E-2</v>
      </c>
      <c r="E80" s="405">
        <f>LOOKUP($A80,SUMMARY!$A$4:$A$96,SUMMARY!$I$4:$I$96)</f>
        <v>30.362814453771083</v>
      </c>
      <c r="F80" s="405">
        <f>LOOKUP($A80,SUMMARY!$A$4:$A$96,SUMMARY!$BO$4:$BO$96)</f>
        <v>371.4461</v>
      </c>
      <c r="G80" s="405">
        <f>LOOKUP($A80,SUMMARY!$A$4:$A$96,SUMMARY!$BR$4:$BR$96)</f>
        <v>0</v>
      </c>
      <c r="H80" s="404">
        <f>LOOKUP($A80,SUMMARY!$A$4:$A$96,SUMMARY!$AC$4:$AC$96)</f>
        <v>3.2997605460424873</v>
      </c>
      <c r="I80" s="405">
        <f>LOOKUP($A80,SUMMARY!$A$4:$A$96,SUMMARY!$BG$4:$BG$96)</f>
        <v>30.797167159745996</v>
      </c>
      <c r="J80" s="404">
        <v>0.5</v>
      </c>
      <c r="O80" s="392" t="str">
        <f>LOOKUP($A80,SUMMARY!$A$4:$A$96,SUMMARY!$B$4:$B$96)</f>
        <v>Lewis Gut + Bridgeport H. + Pequonnock R.</v>
      </c>
      <c r="P80" s="404" t="str">
        <f>LOOKUP($A80,SUMMARY!$A$4:$A$96,SUMMARY!$C$4:$C$96)</f>
        <v>53-54-55</v>
      </c>
      <c r="Q80" s="404">
        <f>LOOKUP($A80,SUMMARY!$A$4:$A$96,SUMMARY!$AA$4:$AA$96)</f>
        <v>2.2361878386665982E-2</v>
      </c>
      <c r="R80" s="405">
        <f>LOOKUP($A80,SUMMARY!$A$4:$A$96,SUMMARY!$I$4:$I$96)</f>
        <v>30.362814453771083</v>
      </c>
      <c r="S80" s="405">
        <f>LOOKUP($A80,SUMMARY!$A$4:$A$96,SUMMARY!$BO$4:$BO$96)</f>
        <v>371.4461</v>
      </c>
      <c r="T80" s="405">
        <f>LOOKUP($A80,SUMMARY!$A$4:$A$96,SUMMARY!$BR$4:$BR$96)</f>
        <v>0</v>
      </c>
      <c r="U80" s="404">
        <f>LOOKUP($A80,SUMMARY!$A$4:$A$96,SUMMARY!$AC$4:$AC$96)</f>
        <v>3.2997605460424873</v>
      </c>
      <c r="V80" s="405">
        <f>LOOKUP($A80,SUMMARY!$A$4:$A$96,SUMMARY!$BG$4:$BG$96)</f>
        <v>30.797167159745996</v>
      </c>
      <c r="W80" s="404">
        <v>0.5</v>
      </c>
    </row>
    <row r="81" spans="1:23" s="406" customFormat="1" x14ac:dyDescent="0.35">
      <c r="A81" s="403">
        <v>62.5</v>
      </c>
      <c r="B81" s="392" t="str">
        <f>LOOKUP($A81,SUMMARY!$A$4:$A$96,SUMMARY!$B$4:$B$96)</f>
        <v>Sherwood Millpond + Compo Cove</v>
      </c>
      <c r="C81" s="404" t="str">
        <f>LOOKUP($A81,SUMMARY!$A$4:$A$96,SUMMARY!$C$4:$C$96)</f>
        <v>61-62</v>
      </c>
      <c r="D81" s="404">
        <f>LOOKUP($A81,SUMMARY!$A$4:$A$96,SUMMARY!$AA$4:$AA$96)</f>
        <v>9.4954091533507451E-3</v>
      </c>
      <c r="E81" s="405">
        <f>LOOKUP($A81,SUMMARY!$A$4:$A$96,SUMMARY!$I$4:$I$96)</f>
        <v>22.219172646576919</v>
      </c>
      <c r="F81" s="405">
        <f>LOOKUP($A81,SUMMARY!$A$4:$A$96,SUMMARY!$BO$4:$BO$96)</f>
        <v>62.2761</v>
      </c>
      <c r="G81" s="405">
        <f>LOOKUP($A81,SUMMARY!$A$4:$A$96,SUMMARY!$BR$4:$BR$96)</f>
        <v>2</v>
      </c>
      <c r="H81" s="404">
        <f>LOOKUP($A81,SUMMARY!$A$4:$A$96,SUMMARY!$AC$4:$AC$96)</f>
        <v>5.2169738957569685</v>
      </c>
      <c r="I81" s="405">
        <f>LOOKUP($A81,SUMMARY!$A$4:$A$96,SUMMARY!$BG$4:$BG$96)</f>
        <v>0</v>
      </c>
      <c r="J81" s="404">
        <v>0.311</v>
      </c>
      <c r="O81" s="392" t="str">
        <f>LOOKUP($A81,SUMMARY!$A$4:$A$96,SUMMARY!$B$4:$B$96)</f>
        <v>Sherwood Millpond + Compo Cove</v>
      </c>
      <c r="P81" s="404" t="str">
        <f>LOOKUP($A81,SUMMARY!$A$4:$A$96,SUMMARY!$C$4:$C$96)</f>
        <v>61-62</v>
      </c>
      <c r="Q81" s="404">
        <f>LOOKUP($A81,SUMMARY!$A$4:$A$96,SUMMARY!$AA$4:$AA$96)</f>
        <v>9.4954091533507451E-3</v>
      </c>
      <c r="R81" s="405">
        <f>LOOKUP($A81,SUMMARY!$A$4:$A$96,SUMMARY!$I$4:$I$96)</f>
        <v>22.219172646576919</v>
      </c>
      <c r="S81" s="405">
        <f>LOOKUP($A81,SUMMARY!$A$4:$A$96,SUMMARY!$BO$4:$BO$96)</f>
        <v>62.2761</v>
      </c>
      <c r="T81" s="405">
        <f>LOOKUP($A81,SUMMARY!$A$4:$A$96,SUMMARY!$BR$4:$BR$96)</f>
        <v>2</v>
      </c>
      <c r="U81" s="404">
        <f>LOOKUP($A81,SUMMARY!$A$4:$A$96,SUMMARY!$AC$4:$AC$96)</f>
        <v>5.2169738957569685</v>
      </c>
      <c r="V81" s="405">
        <f>LOOKUP($A81,SUMMARY!$A$4:$A$96,SUMMARY!$BG$4:$BG$96)</f>
        <v>0</v>
      </c>
      <c r="W81" s="404">
        <v>0.311</v>
      </c>
    </row>
    <row r="82" spans="1:23" s="406" customFormat="1" x14ac:dyDescent="0.35">
      <c r="A82" s="403">
        <v>71.5</v>
      </c>
      <c r="B82" s="392" t="str">
        <f>LOOKUP($A82,SUMMARY!$A$4:$A$96,SUMMARY!$B$4:$B$96)</f>
        <v>Gorham Pond + Darien River</v>
      </c>
      <c r="C82" s="404" t="str">
        <f>LOOKUP($A82,SUMMARY!$A$4:$A$96,SUMMARY!$C$4:$C$96)</f>
        <v>70-71</v>
      </c>
      <c r="D82" s="404">
        <f>LOOKUP($A82,SUMMARY!$A$4:$A$96,SUMMARY!$AA$4:$AA$96)</f>
        <v>1.0061258651843631E-2</v>
      </c>
      <c r="E82" s="405">
        <f>LOOKUP($A82,SUMMARY!$A$4:$A$96,SUMMARY!$I$4:$I$96)</f>
        <v>15.153727010439187</v>
      </c>
      <c r="F82" s="405">
        <f>LOOKUP($A82,SUMMARY!$A$4:$A$96,SUMMARY!$BO$4:$BO$96)</f>
        <v>73.2624</v>
      </c>
      <c r="G82" s="405">
        <f>LOOKUP($A82,SUMMARY!$A$4:$A$96,SUMMARY!$BR$4:$BR$96)</f>
        <v>2</v>
      </c>
      <c r="H82" s="404">
        <f>LOOKUP($A82,SUMMARY!$A$4:$A$96,SUMMARY!$AC$4:$AC$96)</f>
        <v>3.3589530846896305</v>
      </c>
      <c r="I82" s="405">
        <f>LOOKUP($A82,SUMMARY!$A$4:$A$96,SUMMARY!$BG$4:$BG$96)</f>
        <v>0</v>
      </c>
      <c r="J82" s="404">
        <v>0.36599999999999999</v>
      </c>
      <c r="O82" s="392" t="str">
        <f>LOOKUP($A82,SUMMARY!$A$4:$A$96,SUMMARY!$B$4:$B$96)</f>
        <v>Gorham Pond + Darien River</v>
      </c>
      <c r="P82" s="404" t="str">
        <f>LOOKUP($A82,SUMMARY!$A$4:$A$96,SUMMARY!$C$4:$C$96)</f>
        <v>70-71</v>
      </c>
      <c r="Q82" s="404">
        <f>LOOKUP($A82,SUMMARY!$A$4:$A$96,SUMMARY!$AA$4:$AA$96)</f>
        <v>1.0061258651843631E-2</v>
      </c>
      <c r="R82" s="405">
        <f>LOOKUP($A82,SUMMARY!$A$4:$A$96,SUMMARY!$I$4:$I$96)</f>
        <v>15.153727010439187</v>
      </c>
      <c r="S82" s="405">
        <f>LOOKUP($A82,SUMMARY!$A$4:$A$96,SUMMARY!$BO$4:$BO$96)</f>
        <v>73.2624</v>
      </c>
      <c r="T82" s="405">
        <f>LOOKUP($A82,SUMMARY!$A$4:$A$96,SUMMARY!$BR$4:$BR$96)</f>
        <v>2</v>
      </c>
      <c r="U82" s="404">
        <f>LOOKUP($A82,SUMMARY!$A$4:$A$96,SUMMARY!$AC$4:$AC$96)</f>
        <v>3.3589530846896305</v>
      </c>
      <c r="V82" s="405">
        <f>LOOKUP($A82,SUMMARY!$A$4:$A$96,SUMMARY!$BG$4:$BG$96)</f>
        <v>0</v>
      </c>
      <c r="W82" s="404">
        <v>0.36599999999999999</v>
      </c>
    </row>
    <row r="83" spans="1:23" s="406" customFormat="1" x14ac:dyDescent="0.35">
      <c r="A83" s="403">
        <v>73.5</v>
      </c>
      <c r="B83" s="392" t="str">
        <f>LOOKUP($A83,SUMMARY!$A$4:$A$96,SUMMARY!$B$4:$B$96)</f>
        <v>Holly Pond + Cove Harbor</v>
      </c>
      <c r="C83" s="404" t="str">
        <f>LOOKUP($A83,SUMMARY!$A$4:$A$96,SUMMARY!$C$4:$C$96)</f>
        <v>72-73</v>
      </c>
      <c r="D83" s="404">
        <f>LOOKUP($A83,SUMMARY!$A$4:$A$96,SUMMARY!$AA$4:$AA$96)</f>
        <v>5.8473533074677245E-3</v>
      </c>
      <c r="E83" s="405">
        <f>LOOKUP($A83,SUMMARY!$A$4:$A$96,SUMMARY!$I$4:$I$96)</f>
        <v>4.3522979346683481</v>
      </c>
      <c r="F83" s="405">
        <f>LOOKUP($A83,SUMMARY!$A$4:$A$96,SUMMARY!$BO$4:$BO$96)</f>
        <v>207.45840000000001</v>
      </c>
      <c r="G83" s="405">
        <f>LOOKUP($A83,SUMMARY!$A$4:$A$96,SUMMARY!$BR$4:$BR$96)</f>
        <v>2</v>
      </c>
      <c r="H83" s="404">
        <f>LOOKUP($A83,SUMMARY!$A$4:$A$96,SUMMARY!$AC$4:$AC$96)</f>
        <v>3.0857031120406742</v>
      </c>
      <c r="I83" s="405">
        <f>LOOKUP($A83,SUMMARY!$A$4:$A$96,SUMMARY!$BG$4:$BG$96)</f>
        <v>0</v>
      </c>
      <c r="J83" s="404">
        <v>0.5</v>
      </c>
      <c r="O83" s="392" t="str">
        <f>LOOKUP($A83,SUMMARY!$A$4:$A$96,SUMMARY!$B$4:$B$96)</f>
        <v>Holly Pond + Cove Harbor</v>
      </c>
      <c r="P83" s="404" t="str">
        <f>LOOKUP($A83,SUMMARY!$A$4:$A$96,SUMMARY!$C$4:$C$96)</f>
        <v>72-73</v>
      </c>
      <c r="Q83" s="404">
        <f>LOOKUP($A83,SUMMARY!$A$4:$A$96,SUMMARY!$AA$4:$AA$96)</f>
        <v>5.8473533074677245E-3</v>
      </c>
      <c r="R83" s="405">
        <f>LOOKUP($A83,SUMMARY!$A$4:$A$96,SUMMARY!$I$4:$I$96)</f>
        <v>4.3522979346683481</v>
      </c>
      <c r="S83" s="405">
        <f>LOOKUP($A83,SUMMARY!$A$4:$A$96,SUMMARY!$BO$4:$BO$96)</f>
        <v>207.45840000000001</v>
      </c>
      <c r="T83" s="405">
        <f>LOOKUP($A83,SUMMARY!$A$4:$A$96,SUMMARY!$BR$4:$BR$96)</f>
        <v>2</v>
      </c>
      <c r="U83" s="404">
        <f>LOOKUP($A83,SUMMARY!$A$4:$A$96,SUMMARY!$AC$4:$AC$96)</f>
        <v>3.0857031120406742</v>
      </c>
      <c r="V83" s="405">
        <f>LOOKUP($A83,SUMMARY!$A$4:$A$96,SUMMARY!$BG$4:$BG$96)</f>
        <v>0</v>
      </c>
      <c r="W83" s="404">
        <v>0.5</v>
      </c>
    </row>
    <row r="84" spans="1:23" s="406" customFormat="1" x14ac:dyDescent="0.35">
      <c r="A84" s="403">
        <v>84.5</v>
      </c>
      <c r="B84" s="392" t="str">
        <f>LOOKUP($A84,SUMMARY!$A$4:$A$96,SUMMARY!$B$4:$B$96)</f>
        <v>Byram R. + Kirby P. + Playland L.</v>
      </c>
      <c r="C84" s="404" t="str">
        <f>LOOKUP($A84,SUMMARY!$A$4:$A$96,SUMMARY!$C$4:$C$96)</f>
        <v>82-83-84</v>
      </c>
      <c r="D84" s="404">
        <f>LOOKUP($A84,SUMMARY!$A$4:$A$96,SUMMARY!$AA$4:$AA$96)</f>
        <v>2.2560165250729368E-2</v>
      </c>
      <c r="E84" s="405">
        <f>LOOKUP($A84,SUMMARY!$A$4:$A$96,SUMMARY!$I$4:$I$96)</f>
        <v>32.651541075537267</v>
      </c>
      <c r="F84" s="405">
        <f>LOOKUP($A84,SUMMARY!$A$4:$A$96,SUMMARY!$BO$4:$BO$96)</f>
        <v>119.09220000000001</v>
      </c>
      <c r="G84" s="405">
        <f>LOOKUP($A84,SUMMARY!$A$4:$A$96,SUMMARY!$BR$4:$BR$96)</f>
        <v>0</v>
      </c>
      <c r="H84" s="404">
        <f>LOOKUP($A84,SUMMARY!$A$4:$A$96,SUMMARY!$AC$4:$AC$96)</f>
        <v>2.4624247797155103</v>
      </c>
      <c r="I84" s="405">
        <f>LOOKUP($A84,SUMMARY!$A$4:$A$96,SUMMARY!$BG$4:$BG$96)</f>
        <v>14.426440509315356</v>
      </c>
      <c r="J84" s="404">
        <v>0.5</v>
      </c>
      <c r="O84" s="392" t="str">
        <f>LOOKUP($A84,SUMMARY!$A$4:$A$96,SUMMARY!$B$4:$B$96)</f>
        <v>Byram R. + Kirby P. + Playland L.</v>
      </c>
      <c r="P84" s="404" t="str">
        <f>LOOKUP($A84,SUMMARY!$A$4:$A$96,SUMMARY!$C$4:$C$96)</f>
        <v>82-83-84</v>
      </c>
      <c r="Q84" s="404">
        <f>LOOKUP($A84,SUMMARY!$A$4:$A$96,SUMMARY!$AA$4:$AA$96)</f>
        <v>2.2560165250729368E-2</v>
      </c>
      <c r="R84" s="405">
        <f>LOOKUP($A84,SUMMARY!$A$4:$A$96,SUMMARY!$I$4:$I$96)</f>
        <v>32.651541075537267</v>
      </c>
      <c r="S84" s="405">
        <f>LOOKUP($A84,SUMMARY!$A$4:$A$96,SUMMARY!$BO$4:$BO$96)</f>
        <v>119.09220000000001</v>
      </c>
      <c r="T84" s="405">
        <f>LOOKUP($A84,SUMMARY!$A$4:$A$96,SUMMARY!$BR$4:$BR$96)</f>
        <v>0</v>
      </c>
      <c r="U84" s="404">
        <f>LOOKUP($A84,SUMMARY!$A$4:$A$96,SUMMARY!$AC$4:$AC$96)</f>
        <v>2.4624247797155103</v>
      </c>
      <c r="V84" s="405">
        <f>LOOKUP($A84,SUMMARY!$A$4:$A$96,SUMMARY!$BG$4:$BG$96)</f>
        <v>14.426440509315356</v>
      </c>
      <c r="W84" s="404">
        <v>0.5</v>
      </c>
    </row>
    <row r="85" spans="1:23" s="400" customFormat="1" x14ac:dyDescent="0.35">
      <c r="A85" s="399">
        <v>23</v>
      </c>
      <c r="J85" s="400">
        <v>0.5</v>
      </c>
      <c r="O85" s="391" t="str">
        <f>LOOKUP($A85,SUMMARY!$A$4:$A$96,SUMMARY!$B$4:$B$96)</f>
        <v>Niantic Bay</v>
      </c>
      <c r="P85" s="400">
        <f>LOOKUP($A85,SUMMARY!$A$4:$A$96,SUMMARY!$C$4:$C$96)</f>
        <v>23</v>
      </c>
      <c r="Q85" s="400">
        <f>LOOKUP($A85,SUMMARY!$A$4:$A$96,SUMMARY!$AA$4:$AA$96)</f>
        <v>8.7825616458031761E-3</v>
      </c>
      <c r="R85" s="401">
        <f>LOOKUP($A85,SUMMARY!$A$4:$A$96,SUMMARY!$I$4:$I$96)</f>
        <v>1.0483843635941275</v>
      </c>
      <c r="S85" s="401">
        <f>LOOKUP($A85,SUMMARY!$A$4:$A$96,SUMMARY!$BO$4:$BO$96)</f>
        <v>814.46529999999996</v>
      </c>
      <c r="T85" s="401">
        <f>LOOKUP($A85,SUMMARY!$A$4:$A$96,SUMMARY!$BR$4:$BR$96)</f>
        <v>0</v>
      </c>
      <c r="U85" s="400">
        <f>LOOKUP($A85,SUMMARY!$A$4:$A$96,SUMMARY!$AC$4:$AC$96)</f>
        <v>1.793180539933233</v>
      </c>
      <c r="V85" s="401">
        <f>LOOKUP($A85,SUMMARY!$A$4:$A$96,SUMMARY!$BG$4:$BG$96)</f>
        <v>0</v>
      </c>
      <c r="W85" s="402">
        <v>0.5</v>
      </c>
    </row>
    <row r="86" spans="1:23" s="400" customFormat="1" x14ac:dyDescent="0.35">
      <c r="A86" s="399">
        <v>62</v>
      </c>
      <c r="J86" s="400">
        <v>9.5000000000000001E-2</v>
      </c>
      <c r="O86" s="391" t="str">
        <f>LOOKUP($A86,SUMMARY!$A$4:$A$96,SUMMARY!$B$4:$B$96)</f>
        <v>Compo Cove</v>
      </c>
      <c r="P86" s="400">
        <f>LOOKUP($A86,SUMMARY!$A$4:$A$96,SUMMARY!$C$4:$C$96)</f>
        <v>62</v>
      </c>
      <c r="Q86" s="400">
        <f>LOOKUP($A86,SUMMARY!$A$4:$A$96,SUMMARY!$AA$4:$AA$96)</f>
        <v>3.085215320110745E-2</v>
      </c>
      <c r="R86" s="401">
        <f>LOOKUP($A86,SUMMARY!$A$4:$A$96,SUMMARY!$I$4:$I$96)</f>
        <v>1.8440784064073814</v>
      </c>
      <c r="S86" s="401">
        <f>LOOKUP($A86,SUMMARY!$A$4:$A$96,SUMMARY!$BO$4:$BO$96)</f>
        <v>19.166799999999999</v>
      </c>
      <c r="T86" s="401">
        <f>LOOKUP($A86,SUMMARY!$A$4:$A$96,SUMMARY!$BR$4:$BR$96)</f>
        <v>0</v>
      </c>
      <c r="U86" s="400">
        <f>LOOKUP($A86,SUMMARY!$A$4:$A$96,SUMMARY!$AC$4:$AC$96)</f>
        <v>5.1088909123247426</v>
      </c>
      <c r="V86" s="401">
        <f>LOOKUP($A86,SUMMARY!$A$4:$A$96,SUMMARY!$BG$4:$BG$96)</f>
        <v>0</v>
      </c>
      <c r="W86" s="402">
        <v>9.5000000000000001E-2</v>
      </c>
    </row>
    <row r="87" spans="1:23" s="400" customFormat="1" x14ac:dyDescent="0.35">
      <c r="A87" s="399">
        <v>73</v>
      </c>
      <c r="J87" s="400">
        <v>0.5</v>
      </c>
      <c r="O87" s="391" t="str">
        <f>LOOKUP($A87,SUMMARY!$A$4:$A$96,SUMMARY!$B$4:$B$96)</f>
        <v>Cove Harbor</v>
      </c>
      <c r="P87" s="400">
        <f>LOOKUP($A87,SUMMARY!$A$4:$A$96,SUMMARY!$C$4:$C$96)</f>
        <v>73</v>
      </c>
      <c r="Q87" s="400">
        <f>LOOKUP($A87,SUMMARY!$A$4:$A$96,SUMMARY!$AA$4:$AA$96)</f>
        <v>9.4493467027838389E-3</v>
      </c>
      <c r="R87" s="401">
        <f>LOOKUP($A87,SUMMARY!$A$4:$A$96,SUMMARY!$I$4:$I$96)</f>
        <v>1.4050211181251528</v>
      </c>
      <c r="S87" s="401">
        <f>LOOKUP($A87,SUMMARY!$A$4:$A$96,SUMMARY!$BO$4:$BO$96)</f>
        <v>128.37739999999999</v>
      </c>
      <c r="T87" s="401">
        <f>LOOKUP($A87,SUMMARY!$A$4:$A$96,SUMMARY!$BR$4:$BR$96)</f>
        <v>0</v>
      </c>
      <c r="U87" s="400">
        <f>LOOKUP($A87,SUMMARY!$A$4:$A$96,SUMMARY!$AC$4:$AC$96)</f>
        <v>3.0746924731554426</v>
      </c>
      <c r="V87" s="401">
        <f>LOOKUP($A87,SUMMARY!$A$4:$A$96,SUMMARY!$BG$4:$BG$96)</f>
        <v>0</v>
      </c>
      <c r="W87" s="402">
        <v>0.5</v>
      </c>
    </row>
    <row r="88" spans="1:23" s="406" customFormat="1" x14ac:dyDescent="0.35">
      <c r="A88" s="403">
        <v>5.5</v>
      </c>
      <c r="B88" s="392" t="str">
        <f>LOOKUP($A88,SUMMARY!$A$4:$A$96,SUMMARY!$B$4:$B$96)</f>
        <v>Quanaduck C. + Stonington H.</v>
      </c>
      <c r="C88" s="404" t="str">
        <f>LOOKUP($A88,SUMMARY!$A$4:$A$96,SUMMARY!$C$4:$C$96)</f>
        <v xml:space="preserve"> 4-5</v>
      </c>
      <c r="D88" s="404">
        <f>LOOKUP($A88,SUMMARY!$A$4:$A$96,SUMMARY!$AA$4:$AA$96)</f>
        <v>4.1633180272137513E-3</v>
      </c>
      <c r="E88" s="405">
        <f>LOOKUP($A88,SUMMARY!$A$4:$A$96,SUMMARY!$I$4:$I$96)</f>
        <v>7.9428000051374923</v>
      </c>
      <c r="F88" s="405">
        <f>LOOKUP($A88,SUMMARY!$A$4:$A$96,SUMMARY!$BO$4:$BO$96)</f>
        <v>198.5599</v>
      </c>
      <c r="G88" s="405">
        <f>LOOKUP($A88,SUMMARY!$A$4:$A$96,SUMMARY!$BR$4:$BR$96)</f>
        <v>4</v>
      </c>
      <c r="H88" s="404">
        <f>LOOKUP($A88,SUMMARY!$A$4:$A$96,SUMMARY!$AC$4:$AC$96)</f>
        <v>4.0226871252063736</v>
      </c>
      <c r="I88" s="405">
        <f>LOOKUP($A88,SUMMARY!$A$4:$A$96,SUMMARY!$BG$4:$BG$96)</f>
        <v>17.886555913129218</v>
      </c>
      <c r="J88" s="404">
        <v>0.5</v>
      </c>
      <c r="O88" s="392" t="str">
        <f>LOOKUP($A88,SUMMARY!$A$4:$A$96,SUMMARY!$B$4:$B$96)</f>
        <v>Quanaduck C. + Stonington H.</v>
      </c>
      <c r="P88" s="404" t="str">
        <f>LOOKUP($A88,SUMMARY!$A$4:$A$96,SUMMARY!$C$4:$C$96)</f>
        <v xml:space="preserve"> 4-5</v>
      </c>
      <c r="Q88" s="404">
        <f>LOOKUP($A88,SUMMARY!$A$4:$A$96,SUMMARY!$AA$4:$AA$96)</f>
        <v>4.1633180272137513E-3</v>
      </c>
      <c r="R88" s="405">
        <f>LOOKUP($A88,SUMMARY!$A$4:$A$96,SUMMARY!$I$4:$I$96)</f>
        <v>7.9428000051374923</v>
      </c>
      <c r="S88" s="405">
        <f>LOOKUP($A88,SUMMARY!$A$4:$A$96,SUMMARY!$BO$4:$BO$96)</f>
        <v>198.5599</v>
      </c>
      <c r="T88" s="405">
        <f>LOOKUP($A88,SUMMARY!$A$4:$A$96,SUMMARY!$BR$4:$BR$96)</f>
        <v>4</v>
      </c>
      <c r="U88" s="404">
        <f>LOOKUP($A88,SUMMARY!$A$4:$A$96,SUMMARY!$AC$4:$AC$96)</f>
        <v>4.0226871252063736</v>
      </c>
      <c r="V88" s="405">
        <f>LOOKUP($A88,SUMMARY!$A$4:$A$96,SUMMARY!$BG$4:$BG$96)</f>
        <v>17.886555913129218</v>
      </c>
      <c r="W88" s="404">
        <v>0.5</v>
      </c>
    </row>
    <row r="89" spans="1:23" s="406" customFormat="1" x14ac:dyDescent="0.35">
      <c r="A89" s="403">
        <v>10.5</v>
      </c>
      <c r="B89" s="392" t="str">
        <f>LOOKUP($A89,SUMMARY!$A$4:$A$96,SUMMARY!$B$4:$B$96)</f>
        <v>Mystic R. + Williams C. + Beebe C.</v>
      </c>
      <c r="C89" s="404" t="str">
        <f>LOOKUP($A89,SUMMARY!$A$4:$A$96,SUMMARY!$C$4:$C$96)</f>
        <v xml:space="preserve"> 8-9-10</v>
      </c>
      <c r="D89" s="404">
        <f>LOOKUP($A89,SUMMARY!$A$4:$A$96,SUMMARY!$AA$4:$AA$96)</f>
        <v>4.1239782922067023E-2</v>
      </c>
      <c r="E89" s="405">
        <f>LOOKUP($A89,SUMMARY!$A$4:$A$96,SUMMARY!$I$4:$I$96)</f>
        <v>59.712596638809806</v>
      </c>
      <c r="F89" s="405">
        <f>LOOKUP($A89,SUMMARY!$A$4:$A$96,SUMMARY!$BO$4:$BO$96)</f>
        <v>176.40180000000001</v>
      </c>
      <c r="G89" s="405">
        <f>LOOKUP($A89,SUMMARY!$A$4:$A$96,SUMMARY!$BR$4:$BR$96)</f>
        <v>2</v>
      </c>
      <c r="H89" s="404">
        <f>LOOKUP($A89,SUMMARY!$A$4:$A$96,SUMMARY!$AC$4:$AC$96)</f>
        <v>2.5603098339308086</v>
      </c>
      <c r="I89" s="405">
        <f>LOOKUP($A89,SUMMARY!$A$4:$A$96,SUMMARY!$BG$4:$BG$96)</f>
        <v>25.306583334893102</v>
      </c>
      <c r="J89" s="404">
        <v>0.5</v>
      </c>
      <c r="O89" s="392" t="str">
        <f>LOOKUP($A89,SUMMARY!$A$4:$A$96,SUMMARY!$B$4:$B$96)</f>
        <v>Mystic R. + Williams C. + Beebe C.</v>
      </c>
      <c r="P89" s="404" t="str">
        <f>LOOKUP($A89,SUMMARY!$A$4:$A$96,SUMMARY!$C$4:$C$96)</f>
        <v xml:space="preserve"> 8-9-10</v>
      </c>
      <c r="Q89" s="404">
        <f>LOOKUP($A89,SUMMARY!$A$4:$A$96,SUMMARY!$AA$4:$AA$96)</f>
        <v>4.1239782922067023E-2</v>
      </c>
      <c r="R89" s="405">
        <f>LOOKUP($A89,SUMMARY!$A$4:$A$96,SUMMARY!$I$4:$I$96)</f>
        <v>59.712596638809806</v>
      </c>
      <c r="S89" s="405">
        <f>LOOKUP($A89,SUMMARY!$A$4:$A$96,SUMMARY!$BO$4:$BO$96)</f>
        <v>176.40180000000001</v>
      </c>
      <c r="T89" s="405">
        <f>LOOKUP($A89,SUMMARY!$A$4:$A$96,SUMMARY!$BR$4:$BR$96)</f>
        <v>2</v>
      </c>
      <c r="U89" s="404">
        <f>LOOKUP($A89,SUMMARY!$A$4:$A$96,SUMMARY!$AC$4:$AC$96)</f>
        <v>2.5603098339308086</v>
      </c>
      <c r="V89" s="405">
        <f>LOOKUP($A89,SUMMARY!$A$4:$A$96,SUMMARY!$BG$4:$BG$96)</f>
        <v>25.306583334893102</v>
      </c>
      <c r="W89" s="404">
        <v>0.5</v>
      </c>
    </row>
  </sheetData>
  <pageMargins left="0.7" right="0.7" top="0.75" bottom="0.75" header="0.3" footer="0.3"/>
  <pageSetup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V123"/>
  <sheetViews>
    <sheetView topLeftCell="F1" zoomScale="85" zoomScaleNormal="85" workbookViewId="0">
      <selection activeCell="K1" sqref="K1"/>
    </sheetView>
  </sheetViews>
  <sheetFormatPr defaultRowHeight="14.5" x14ac:dyDescent="0.35"/>
  <cols>
    <col min="1" max="1" width="24.26953125" style="225" customWidth="1"/>
    <col min="2" max="2" width="9" style="138" customWidth="1"/>
    <col min="3" max="3" width="21.54296875" style="225" customWidth="1"/>
    <col min="4" max="4" width="4.6328125" style="225" customWidth="1"/>
    <col min="5" max="5" width="28.7265625" style="225" customWidth="1"/>
    <col min="6" max="6" width="4.6328125" style="225" customWidth="1"/>
    <col min="7" max="7" width="5.08984375" style="225" customWidth="1"/>
    <col min="8" max="8" width="15.81640625" style="225" customWidth="1"/>
    <col min="11" max="11" width="16" style="426" customWidth="1"/>
    <col min="12" max="12" width="8.08984375" style="425" bestFit="1" customWidth="1"/>
    <col min="13" max="19" width="4.36328125" style="424" customWidth="1"/>
    <col min="20" max="20" width="44.90625" style="428" customWidth="1"/>
    <col min="22" max="22" width="44.90625" style="428" customWidth="1"/>
  </cols>
  <sheetData>
    <row r="1" spans="1:22" ht="19" thickBot="1" x14ac:dyDescent="0.5">
      <c r="A1" s="325" t="s">
        <v>653</v>
      </c>
      <c r="B1" s="323"/>
      <c r="C1" s="336" t="s">
        <v>603</v>
      </c>
      <c r="D1" s="419"/>
      <c r="E1" s="336"/>
      <c r="F1" s="419"/>
      <c r="G1" s="419"/>
      <c r="H1" s="419"/>
      <c r="I1" t="s">
        <v>515</v>
      </c>
      <c r="K1" s="425"/>
    </row>
    <row r="2" spans="1:22" ht="24.5" customHeight="1" x14ac:dyDescent="0.35">
      <c r="A2" s="413" t="s">
        <v>592</v>
      </c>
      <c r="B2" s="414"/>
      <c r="C2" s="420">
        <v>3</v>
      </c>
      <c r="D2" s="421"/>
      <c r="E2" s="420">
        <v>3</v>
      </c>
      <c r="F2" s="421"/>
      <c r="G2" s="421">
        <v>3</v>
      </c>
      <c r="H2" s="421">
        <v>3</v>
      </c>
      <c r="K2" s="503" t="s">
        <v>685</v>
      </c>
      <c r="L2" s="505" t="s">
        <v>0</v>
      </c>
      <c r="M2" s="499" t="s">
        <v>686</v>
      </c>
      <c r="N2" s="500"/>
      <c r="O2" s="501"/>
      <c r="P2" s="502" t="s">
        <v>687</v>
      </c>
      <c r="Q2" s="500"/>
      <c r="R2" s="501"/>
      <c r="S2" s="507" t="s">
        <v>688</v>
      </c>
      <c r="T2" s="497" t="str">
        <f>SUMMARY!CZ3</f>
        <v>Observations on reasons for changes to categorizations based on ancillary data.</v>
      </c>
      <c r="V2" s="497" t="str">
        <f>SUMMARY!DA3</f>
        <v>WASP water quality model required, based on presence of point source load.</v>
      </c>
    </row>
    <row r="3" spans="1:22" ht="116" x14ac:dyDescent="0.35">
      <c r="A3" s="415" t="s">
        <v>604</v>
      </c>
      <c r="B3" s="416" t="s">
        <v>0</v>
      </c>
      <c r="C3" s="308" t="s">
        <v>594</v>
      </c>
      <c r="D3" s="348" t="s">
        <v>593</v>
      </c>
      <c r="E3" s="308" t="s">
        <v>595</v>
      </c>
      <c r="F3" s="348" t="s">
        <v>593</v>
      </c>
      <c r="G3" s="348" t="s">
        <v>610</v>
      </c>
      <c r="H3" s="348" t="s">
        <v>611</v>
      </c>
      <c r="K3" s="504"/>
      <c r="L3" s="506"/>
      <c r="M3" s="431" t="s">
        <v>605</v>
      </c>
      <c r="N3" s="429" t="s">
        <v>606</v>
      </c>
      <c r="O3" s="434" t="s">
        <v>607</v>
      </c>
      <c r="P3" s="433" t="s">
        <v>605</v>
      </c>
      <c r="Q3" s="429" t="s">
        <v>606</v>
      </c>
      <c r="R3" s="434" t="s">
        <v>607</v>
      </c>
      <c r="S3" s="508"/>
      <c r="T3" s="498"/>
      <c r="U3">
        <f>COUNTA(T4:T92)</f>
        <v>89</v>
      </c>
      <c r="V3" s="498"/>
    </row>
    <row r="4" spans="1:22" ht="29" x14ac:dyDescent="0.35">
      <c r="A4" s="256" t="str">
        <f>SUMMARY!$B$4</f>
        <v>Pawcatuck River, CT &amp; RI</v>
      </c>
      <c r="B4" s="257">
        <f>SUMMARY!$C$4</f>
        <v>1</v>
      </c>
      <c r="C4" s="454" t="str">
        <f>SUMMARY!CJ4</f>
        <v>complex hydrodynamics</v>
      </c>
      <c r="D4" s="455">
        <f>SUMMARY!CK4</f>
        <v>3</v>
      </c>
      <c r="E4" s="454" t="str">
        <f>SUMMARY!CL4</f>
        <v>intermediate complexity water quality</v>
      </c>
      <c r="F4" s="455">
        <f>SUMMARY!CM4</f>
        <v>2</v>
      </c>
      <c r="G4" s="455" t="str">
        <f>SUMMARY!CW4</f>
        <v>complex hydrodynamics</v>
      </c>
      <c r="H4" s="455" t="str">
        <f>SUMMARY!CY4</f>
        <v>intermediate complexity water quality</v>
      </c>
      <c r="K4" s="441" t="str">
        <f>SUMMARY!$B$4</f>
        <v>Pawcatuck River, CT &amp; RI</v>
      </c>
      <c r="L4" s="436">
        <f>SUMMARY!$C$4</f>
        <v>1</v>
      </c>
      <c r="M4" s="432" t="str">
        <f>IF(LEFT($G4,1)=LEFT(M$3,1),"X",IF(C4=G4,"",IF(D4=1,"&gt;","")))</f>
        <v/>
      </c>
      <c r="N4" s="430" t="str">
        <f>IF(LEFT($G4,1)=LEFT(N$3,1),"X",IF(C4=G4,"",IF(LEFT(G4,1)="s","&lt;","&gt;")))</f>
        <v/>
      </c>
      <c r="O4" s="436" t="str">
        <f>IF(LEFT($G4,1)=LEFT(O$3,1),"X",IF(C4=G4,"",IF(D4=3,"&lt;","")))</f>
        <v>X</v>
      </c>
      <c r="P4" s="435" t="str">
        <f>IF(LEFT($H4,1)=LEFT(P$3,1),"X",IF(E4=H4,"",IF(F4=1,"&gt;","")))</f>
        <v/>
      </c>
      <c r="Q4" s="430" t="str">
        <f>IF(LEFT($H4,1)=LEFT(Q$3,1),"X",IF(E4=H4,"",IF(LEFT(H4,1)="s","&lt;",IF(F4=2,"&gt;",""))))</f>
        <v>X</v>
      </c>
      <c r="R4" s="436" t="str">
        <f>IF(LEFT($H4,1)=LEFT(O$3,1),"X",IF(E4=H4,"",IF(F4=4,"&lt;","")))</f>
        <v/>
      </c>
      <c r="S4" s="446" t="str">
        <f>IF(V4="WASP","*","")</f>
        <v>*</v>
      </c>
      <c r="T4" s="444" t="str">
        <f>SUMMARY!CZ4</f>
        <v>N/A</v>
      </c>
      <c r="U4">
        <f>COUNTIF(T4:T92,"N/A")</f>
        <v>45</v>
      </c>
      <c r="V4" s="444" t="str">
        <f>SUMMARY!DA4</f>
        <v>WASP</v>
      </c>
    </row>
    <row r="5" spans="1:22" ht="29" x14ac:dyDescent="0.35">
      <c r="A5" s="256" t="str">
        <f>SUMMARY!$B$5</f>
        <v>Little Narragansett Bay</v>
      </c>
      <c r="B5" s="257">
        <f>SUMMARY!$C$5</f>
        <v>2</v>
      </c>
      <c r="C5" s="418" t="str">
        <f>SUMMARY!CJ5</f>
        <v>complex hydrodynamics</v>
      </c>
      <c r="D5" s="423">
        <f>SUMMARY!CK5</f>
        <v>3</v>
      </c>
      <c r="E5" s="418" t="str">
        <f>SUMMARY!CL5</f>
        <v>intermediate complexity water quality</v>
      </c>
      <c r="F5" s="423">
        <f>SUMMARY!CM5</f>
        <v>2</v>
      </c>
      <c r="G5" s="423" t="str">
        <f>SUMMARY!CW5</f>
        <v>complex hydrodynamics</v>
      </c>
      <c r="H5" s="423" t="str">
        <f>SUMMARY!CY5</f>
        <v>intermediate complexity water quality</v>
      </c>
      <c r="K5" s="441" t="str">
        <f>SUMMARY!$B$5</f>
        <v>Little Narragansett Bay</v>
      </c>
      <c r="L5" s="436">
        <f>SUMMARY!$C$5</f>
        <v>2</v>
      </c>
      <c r="M5" s="432" t="str">
        <f t="shared" ref="M5:M69" si="0">IF(LEFT($G5,1)=LEFT(M$3,1),"X",IF(C5=G5,"",IF(D5=1,"&gt;","")))</f>
        <v/>
      </c>
      <c r="N5" s="430" t="str">
        <f t="shared" ref="N5:N69" si="1">IF(LEFT($G5,1)=LEFT(N$3,1),"X",IF(C5=G5,"",IF(LEFT(G5,1)="s","&lt;","&gt;")))</f>
        <v/>
      </c>
      <c r="O5" s="436" t="str">
        <f t="shared" ref="O5:O69" si="2">IF(LEFT($G5,1)=LEFT(O$3,1),"X",IF(C5=G5,"",IF(D5=3,"&lt;","")))</f>
        <v>X</v>
      </c>
      <c r="P5" s="435" t="str">
        <f t="shared" ref="P5:P69" si="3">IF(LEFT($H5,1)=LEFT(M$3,1),"X",IF(E5=H5,"",IF(F5=1,"&gt;","")))</f>
        <v/>
      </c>
      <c r="Q5" s="430" t="str">
        <f t="shared" ref="Q5:Q69" si="4">IF(LEFT($H5,1)=LEFT(Q$3,1),"X",IF(E5=H5,"",IF(LEFT(H5,1)="s","&lt;",IF(F5=2,"&gt;",""))))</f>
        <v>X</v>
      </c>
      <c r="R5" s="436" t="str">
        <f>IF(LEFT($H5,1)=LEFT(O$3,1),"X",IF(E5=H5,"",IF(F5=4,"&lt;","")))</f>
        <v/>
      </c>
      <c r="S5" s="446" t="str">
        <f t="shared" ref="S5:S66" si="5">IF(V5="WASP","*","")</f>
        <v>*</v>
      </c>
      <c r="T5" s="444" t="str">
        <f>SUMMARY!CZ5</f>
        <v>N/A</v>
      </c>
      <c r="U5">
        <f>U3-U4</f>
        <v>44</v>
      </c>
      <c r="V5" s="444" t="str">
        <f>SUMMARY!DA5</f>
        <v>WASP</v>
      </c>
    </row>
    <row r="6" spans="1:22" ht="29" x14ac:dyDescent="0.35">
      <c r="A6" s="256" t="str">
        <f>SUMMARY!$B$6</f>
        <v>Wequetequock Cove</v>
      </c>
      <c r="B6" s="257">
        <f>SUMMARY!$C$6</f>
        <v>3</v>
      </c>
      <c r="C6" s="418" t="str">
        <f>SUMMARY!CJ6</f>
        <v>intermediate complexity hydrodynamics</v>
      </c>
      <c r="D6" s="423">
        <f>SUMMARY!CK6</f>
        <v>2</v>
      </c>
      <c r="E6" s="418" t="str">
        <f>SUMMARY!CL6</f>
        <v>intermediate complexity water quality</v>
      </c>
      <c r="F6" s="423">
        <f>SUMMARY!CM6</f>
        <v>2</v>
      </c>
      <c r="G6" s="423" t="str">
        <f>SUMMARY!CW6</f>
        <v>intermediate complexity hydrodynamics</v>
      </c>
      <c r="H6" s="423" t="str">
        <f>SUMMARY!CY6</f>
        <v>intermediate complexity water quality</v>
      </c>
      <c r="K6" s="441" t="str">
        <f>SUMMARY!$B$6</f>
        <v>Wequetequock Cove</v>
      </c>
      <c r="L6" s="436">
        <f>SUMMARY!$C$6</f>
        <v>3</v>
      </c>
      <c r="M6" s="432" t="str">
        <f t="shared" si="0"/>
        <v/>
      </c>
      <c r="N6" s="430" t="str">
        <f t="shared" si="1"/>
        <v>X</v>
      </c>
      <c r="O6" s="436" t="str">
        <f t="shared" si="2"/>
        <v/>
      </c>
      <c r="P6" s="435" t="str">
        <f t="shared" si="3"/>
        <v/>
      </c>
      <c r="Q6" s="430" t="str">
        <f t="shared" si="4"/>
        <v>X</v>
      </c>
      <c r="R6" s="436" t="str">
        <f>IF(LEFT($H6,1)=LEFT(O$3,1),"X",IF(E6=H6,"",IF(F6=4,"&lt;","")))</f>
        <v/>
      </c>
      <c r="S6" s="446" t="str">
        <f t="shared" si="5"/>
        <v/>
      </c>
      <c r="T6" s="444" t="str">
        <f>SUMMARY!CZ6</f>
        <v>N/A</v>
      </c>
      <c r="V6" s="444" t="str">
        <f>SUMMARY!DA6</f>
        <v>-</v>
      </c>
    </row>
    <row r="7" spans="1:22" ht="72.5" x14ac:dyDescent="0.35">
      <c r="A7" s="196" t="str">
        <f>SUMMARY!$B$7</f>
        <v>Little Narragansett B. + Wequetequock C. + Pawcatuck R. (30%)</v>
      </c>
      <c r="B7" s="451" t="str">
        <f>SUMMARY!$C$7</f>
        <v>1-2-3</v>
      </c>
      <c r="C7" s="417" t="str">
        <f>SUMMARY!CJ7</f>
        <v>intermediate complexity hydrodynamics</v>
      </c>
      <c r="D7" s="422">
        <f>SUMMARY!CK7</f>
        <v>2</v>
      </c>
      <c r="E7" s="417" t="str">
        <f>SUMMARY!CL7</f>
        <v>intermediate complexity water quality</v>
      </c>
      <c r="F7" s="422">
        <f>SUMMARY!CM7</f>
        <v>2</v>
      </c>
      <c r="G7" s="422" t="str">
        <f>SUMMARY!CW7</f>
        <v>intermediate complexity hydrodynamics</v>
      </c>
      <c r="H7" s="422" t="str">
        <f>SUMMARY!CY7</f>
        <v>intermediate complexity water quality</v>
      </c>
      <c r="K7" s="441" t="s">
        <v>693</v>
      </c>
      <c r="L7" s="456" t="str">
        <f>SUMMARY!$C$7</f>
        <v>1-2-3</v>
      </c>
      <c r="M7" s="432" t="str">
        <f>IF(LEFT($G7,1)=LEFT(M$3,1),"X",IF(C7=G7,"",IF(D7=1,"&gt;","")))</f>
        <v/>
      </c>
      <c r="N7" s="430" t="str">
        <f>IF(LEFT($G7,1)=LEFT(N$3,1),"X",IF(C7=G7,"",IF(LEFT(G7,1)="s","&lt;","&gt;")))</f>
        <v>X</v>
      </c>
      <c r="O7" s="436" t="str">
        <f>IF(LEFT($G7,1)=LEFT(O$3,1),"X",IF(C7=G7,"",IF(D7=3,"&lt;","")))</f>
        <v/>
      </c>
      <c r="P7" s="435" t="str">
        <f>IF(LEFT($H7,1)=LEFT(M$3,1),"X",IF(E7=H7,"",IF(F7=1,"&gt;","")))</f>
        <v/>
      </c>
      <c r="Q7" s="430" t="str">
        <f>IF(LEFT($H7,1)=LEFT(Q$3,1),"X",IF(E7=H7,"",IF(LEFT(H7,1)="s","&lt;",IF(F7=2,"&gt;",""))))</f>
        <v>X</v>
      </c>
      <c r="R7" s="436" t="str">
        <f>IF(LEFT($H7,1)=LEFT(O$3,1),"X",IF(E7=H7,"",IF(F7=4,"&lt;","")))</f>
        <v/>
      </c>
      <c r="S7" s="446" t="str">
        <f>IF(V7="WASP","*","")</f>
        <v>*</v>
      </c>
      <c r="T7" s="444" t="str">
        <f>SUMMARY!CZ7</f>
        <v>N/A</v>
      </c>
      <c r="V7" s="444" t="str">
        <f>SUMMARY!DA7</f>
        <v>WASP</v>
      </c>
    </row>
    <row r="8" spans="1:22" x14ac:dyDescent="0.35">
      <c r="A8" s="256" t="str">
        <f>SUMMARY!$B$8</f>
        <v>Quanaduck Cove</v>
      </c>
      <c r="B8" s="257">
        <f>SUMMARY!$C$8</f>
        <v>4</v>
      </c>
      <c r="C8" s="418" t="str">
        <f>SUMMARY!CJ8</f>
        <v>intermediate complexity hydrodynamics</v>
      </c>
      <c r="D8" s="423">
        <f>SUMMARY!CK8</f>
        <v>2</v>
      </c>
      <c r="E8" s="418" t="str">
        <f>SUMMARY!CL8</f>
        <v>intermediate or complex water quality</v>
      </c>
      <c r="F8" s="423">
        <f>SUMMARY!CM8</f>
        <v>3</v>
      </c>
      <c r="G8" s="423" t="str">
        <f>SUMMARY!CW8</f>
        <v>intermediate complexity hydrodynamics</v>
      </c>
      <c r="H8" s="423" t="str">
        <f>SUMMARY!CY8</f>
        <v>intermediate complexity water quality</v>
      </c>
      <c r="K8" s="441" t="str">
        <f>SUMMARY!$B$8</f>
        <v>Quanaduck Cove</v>
      </c>
      <c r="L8" s="436">
        <f>SUMMARY!$C$8</f>
        <v>4</v>
      </c>
      <c r="M8" s="432" t="str">
        <f t="shared" si="0"/>
        <v/>
      </c>
      <c r="N8" s="430" t="str">
        <f t="shared" si="1"/>
        <v>X</v>
      </c>
      <c r="O8" s="436" t="str">
        <f t="shared" si="2"/>
        <v/>
      </c>
      <c r="P8" s="435" t="str">
        <f t="shared" si="3"/>
        <v/>
      </c>
      <c r="Q8" s="430" t="str">
        <f t="shared" si="4"/>
        <v>X</v>
      </c>
      <c r="R8" s="436" t="str">
        <f>IF(LEFT($H8,1)=LEFT(O$3,1),"X",IF(E8=H8,"",IF(F8=4,"&lt;","")))</f>
        <v/>
      </c>
      <c r="S8" s="446" t="str">
        <f t="shared" si="5"/>
        <v/>
      </c>
      <c r="T8" s="444" t="str">
        <f>SUMMARY!CZ8</f>
        <v>N/A</v>
      </c>
      <c r="V8" s="444" t="str">
        <f>SUMMARY!DA8</f>
        <v>-</v>
      </c>
    </row>
    <row r="9" spans="1:22" ht="29" x14ac:dyDescent="0.35">
      <c r="A9" s="256" t="str">
        <f>SUMMARY!$B$9</f>
        <v>Stonington Harbor</v>
      </c>
      <c r="B9" s="257">
        <f>SUMMARY!$C$9</f>
        <v>5</v>
      </c>
      <c r="C9" s="418" t="str">
        <f>SUMMARY!CJ9</f>
        <v>intermediate complexity hydrodynamics</v>
      </c>
      <c r="D9" s="423">
        <f>SUMMARY!CK9</f>
        <v>2</v>
      </c>
      <c r="E9" s="418" t="str">
        <f>SUMMARY!CL9</f>
        <v>intermediate or complex water quality</v>
      </c>
      <c r="F9" s="423">
        <f>SUMMARY!CM9</f>
        <v>3</v>
      </c>
      <c r="G9" s="423" t="str">
        <f>SUMMARY!CW9</f>
        <v>intermediate complexity hydrodynamics</v>
      </c>
      <c r="H9" s="423" t="str">
        <f>SUMMARY!CY9</f>
        <v>intermediate complexity water quality</v>
      </c>
      <c r="K9" s="441" t="str">
        <f>SUMMARY!$B$9</f>
        <v>Stonington Harbor</v>
      </c>
      <c r="L9" s="436">
        <f>SUMMARY!$C$9</f>
        <v>5</v>
      </c>
      <c r="M9" s="432" t="str">
        <f t="shared" si="0"/>
        <v/>
      </c>
      <c r="N9" s="430" t="str">
        <f t="shared" si="1"/>
        <v>X</v>
      </c>
      <c r="O9" s="436" t="str">
        <f t="shared" si="2"/>
        <v/>
      </c>
      <c r="P9" s="435" t="str">
        <f t="shared" si="3"/>
        <v/>
      </c>
      <c r="Q9" s="430" t="str">
        <f t="shared" si="4"/>
        <v>X</v>
      </c>
      <c r="R9" s="436" t="str">
        <f t="shared" ref="R9:R72" si="6">IF(LEFT($H9,1)=LEFT(O$3,1),"X",IF(E9=H9,"",IF(F9=4,"&lt;","")))</f>
        <v/>
      </c>
      <c r="S9" s="446" t="str">
        <f t="shared" si="5"/>
        <v>*</v>
      </c>
      <c r="T9" s="444" t="str">
        <f>SUMMARY!CZ9</f>
        <v>N/A</v>
      </c>
      <c r="U9">
        <f>COUNTIF(F:F,3)</f>
        <v>38</v>
      </c>
      <c r="V9" s="444" t="str">
        <f>SUMMARY!DA9</f>
        <v>WASP</v>
      </c>
    </row>
    <row r="10" spans="1:22" ht="29" x14ac:dyDescent="0.35">
      <c r="A10" s="196" t="str">
        <f>SUMMARY!$B$10</f>
        <v>Quanaduck C. + Stonington H.</v>
      </c>
      <c r="B10" s="210" t="str">
        <f>SUMMARY!$C$10</f>
        <v xml:space="preserve"> 4-5</v>
      </c>
      <c r="C10" s="417" t="str">
        <f>SUMMARY!CJ10</f>
        <v>intermediate complexity hydrodynamics</v>
      </c>
      <c r="D10" s="422">
        <f>SUMMARY!CK10</f>
        <v>2</v>
      </c>
      <c r="E10" s="417" t="str">
        <f>SUMMARY!CL10</f>
        <v>intermediate or complex water quality</v>
      </c>
      <c r="F10" s="422">
        <f>SUMMARY!CM10</f>
        <v>3</v>
      </c>
      <c r="G10" s="422" t="str">
        <f>SUMMARY!CW10</f>
        <v>intermediate complexity hydrodynamics</v>
      </c>
      <c r="H10" s="422" t="str">
        <f>SUMMARY!CY10</f>
        <v>intermediate complexity water quality</v>
      </c>
      <c r="K10" s="441" t="str">
        <f>SUMMARY!$B$10</f>
        <v>Quanaduck C. + Stonington H.</v>
      </c>
      <c r="L10" s="436" t="str">
        <f>SUMMARY!$C$10</f>
        <v xml:space="preserve"> 4-5</v>
      </c>
      <c r="M10" s="432" t="str">
        <f t="shared" si="0"/>
        <v/>
      </c>
      <c r="N10" s="430" t="str">
        <f t="shared" si="1"/>
        <v>X</v>
      </c>
      <c r="O10" s="436" t="str">
        <f t="shared" si="2"/>
        <v/>
      </c>
      <c r="P10" s="435" t="str">
        <f t="shared" si="3"/>
        <v/>
      </c>
      <c r="Q10" s="430" t="str">
        <f t="shared" si="4"/>
        <v>X</v>
      </c>
      <c r="R10" s="436" t="str">
        <f t="shared" si="6"/>
        <v/>
      </c>
      <c r="S10" s="446" t="str">
        <f t="shared" si="5"/>
        <v>*</v>
      </c>
      <c r="T10" s="444" t="str">
        <f>SUMMARY!CZ10</f>
        <v>N/A</v>
      </c>
      <c r="V10" s="444" t="str">
        <f>SUMMARY!DA10</f>
        <v>WASP</v>
      </c>
    </row>
    <row r="11" spans="1:22" ht="36" x14ac:dyDescent="0.35">
      <c r="A11" s="196" t="str">
        <f>SUMMARY!$B$11</f>
        <v>Quiambog Cove</v>
      </c>
      <c r="B11" s="210">
        <f>SUMMARY!$C$11</f>
        <v>6</v>
      </c>
      <c r="C11" s="417" t="str">
        <f>SUMMARY!CJ11</f>
        <v>complex hydrodynamics</v>
      </c>
      <c r="D11" s="422">
        <f>SUMMARY!CK11</f>
        <v>3</v>
      </c>
      <c r="E11" s="417" t="str">
        <f>SUMMARY!CL11</f>
        <v>intermediate complexity water quality</v>
      </c>
      <c r="F11" s="422">
        <f>SUMMARY!CM11</f>
        <v>2</v>
      </c>
      <c r="G11" s="422" t="str">
        <f>SUMMARY!CW11</f>
        <v>intermediate complexity hydrodynamics</v>
      </c>
      <c r="H11" s="422" t="str">
        <f>SUMMARY!CY11</f>
        <v>intermediate complexity water quality</v>
      </c>
      <c r="K11" s="441" t="str">
        <f>SUMMARY!$B$11</f>
        <v>Quiambog Cove</v>
      </c>
      <c r="L11" s="436">
        <f>SUMMARY!$C$11</f>
        <v>6</v>
      </c>
      <c r="M11" s="432" t="str">
        <f t="shared" si="0"/>
        <v/>
      </c>
      <c r="N11" s="430" t="str">
        <f t="shared" si="1"/>
        <v>X</v>
      </c>
      <c r="O11" s="436" t="str">
        <f t="shared" si="2"/>
        <v>&lt;</v>
      </c>
      <c r="P11" s="435" t="str">
        <f t="shared" si="3"/>
        <v/>
      </c>
      <c r="Q11" s="430" t="str">
        <f t="shared" si="4"/>
        <v>X</v>
      </c>
      <c r="R11" s="436" t="str">
        <f t="shared" si="6"/>
        <v/>
      </c>
      <c r="S11" s="446" t="str">
        <f t="shared" si="5"/>
        <v/>
      </c>
      <c r="T11" s="444" t="str">
        <f>SUMMARY!CZ11</f>
        <v>Small, shallow, WEANE Factor is in the intermediate range. Based on depth, intermediate hydrodynamics categorization is recommended over complex.</v>
      </c>
      <c r="V11" s="444" t="str">
        <f>SUMMARY!DA11</f>
        <v>-</v>
      </c>
    </row>
    <row r="12" spans="1:22" ht="36" x14ac:dyDescent="0.35">
      <c r="A12" s="196" t="str">
        <f>SUMMARY!$B$12</f>
        <v>Wilcox Cove</v>
      </c>
      <c r="B12" s="210">
        <f>SUMMARY!$C$12</f>
        <v>7</v>
      </c>
      <c r="C12" s="417" t="str">
        <f>SUMMARY!CJ12</f>
        <v>intermediate complexity hydrodynamics</v>
      </c>
      <c r="D12" s="422">
        <f>SUMMARY!CK12</f>
        <v>2</v>
      </c>
      <c r="E12" s="417" t="str">
        <f>SUMMARY!CL12</f>
        <v>intermediate complexity water quality</v>
      </c>
      <c r="F12" s="422">
        <f>SUMMARY!CM12</f>
        <v>2</v>
      </c>
      <c r="G12" s="422" t="str">
        <f>SUMMARY!CW12</f>
        <v>simple complexity hydrodynamics</v>
      </c>
      <c r="H12" s="422" t="str">
        <f>SUMMARY!CY12</f>
        <v>intermediate complexity water quality</v>
      </c>
      <c r="K12" s="441" t="str">
        <f>SUMMARY!$B$12</f>
        <v>Wilcox Cove</v>
      </c>
      <c r="L12" s="436">
        <f>SUMMARY!$C$12</f>
        <v>7</v>
      </c>
      <c r="M12" s="432" t="str">
        <f t="shared" si="0"/>
        <v>X</v>
      </c>
      <c r="N12" s="430" t="str">
        <f t="shared" si="1"/>
        <v>&lt;</v>
      </c>
      <c r="O12" s="436" t="str">
        <f t="shared" si="2"/>
        <v/>
      </c>
      <c r="P12" s="435" t="str">
        <f t="shared" si="3"/>
        <v/>
      </c>
      <c r="Q12" s="430" t="str">
        <f t="shared" si="4"/>
        <v>X</v>
      </c>
      <c r="R12" s="436" t="str">
        <f t="shared" si="6"/>
        <v/>
      </c>
      <c r="S12" s="446" t="str">
        <f t="shared" si="5"/>
        <v/>
      </c>
      <c r="T12" s="444" t="str">
        <f>SUMMARY!CZ12</f>
        <v>Tiny, shallow, WEANE Factor is intermediate, very low sinuosity. Simple hydrodynamics categorization is recommended over intermediate.</v>
      </c>
      <c r="V12" s="444" t="str">
        <f>SUMMARY!DA12</f>
        <v>-</v>
      </c>
    </row>
    <row r="13" spans="1:22" ht="36" x14ac:dyDescent="0.35">
      <c r="A13" s="256" t="str">
        <f>SUMMARY!$B$13</f>
        <v>Williams Cove</v>
      </c>
      <c r="B13" s="257">
        <f>SUMMARY!$C$13</f>
        <v>8</v>
      </c>
      <c r="C13" s="418" t="str">
        <f>SUMMARY!CJ13</f>
        <v>complex hydrodynamics</v>
      </c>
      <c r="D13" s="423">
        <f>SUMMARY!CK13</f>
        <v>3</v>
      </c>
      <c r="E13" s="418" t="str">
        <f>SUMMARY!CL13</f>
        <v>intermediate or complex water quality</v>
      </c>
      <c r="F13" s="423">
        <f>SUMMARY!CM13</f>
        <v>3</v>
      </c>
      <c r="G13" s="423" t="str">
        <f>SUMMARY!CW13</f>
        <v>intermediate complexity hydrodynamics</v>
      </c>
      <c r="H13" s="423" t="str">
        <f>SUMMARY!CY13</f>
        <v>intermediate complexity water quality</v>
      </c>
      <c r="K13" s="441" t="str">
        <f>SUMMARY!$B$13</f>
        <v>Williams Cove</v>
      </c>
      <c r="L13" s="436">
        <f>SUMMARY!$C$13</f>
        <v>8</v>
      </c>
      <c r="M13" s="432" t="str">
        <f t="shared" si="0"/>
        <v/>
      </c>
      <c r="N13" s="430" t="str">
        <f t="shared" si="1"/>
        <v>X</v>
      </c>
      <c r="O13" s="436" t="str">
        <f t="shared" si="2"/>
        <v>&lt;</v>
      </c>
      <c r="P13" s="435" t="str">
        <f t="shared" si="3"/>
        <v/>
      </c>
      <c r="Q13" s="430" t="str">
        <f t="shared" si="4"/>
        <v>X</v>
      </c>
      <c r="R13" s="436" t="str">
        <f t="shared" si="6"/>
        <v/>
      </c>
      <c r="S13" s="446" t="str">
        <f t="shared" si="5"/>
        <v/>
      </c>
      <c r="T13" s="444" t="str">
        <f>SUMMARY!CZ13</f>
        <v>Tiny, shallow, WEANE Factor is in the intermediate/complex range. Based on depth and size, intermediate hydrodynamics categorization is recommended over complex.</v>
      </c>
      <c r="V13" s="444" t="str">
        <f>SUMMARY!DA13</f>
        <v>-</v>
      </c>
    </row>
    <row r="14" spans="1:22" ht="36" x14ac:dyDescent="0.35">
      <c r="A14" s="256" t="str">
        <f>SUMMARY!$B$14</f>
        <v>Mystic River</v>
      </c>
      <c r="B14" s="257">
        <f>SUMMARY!$C$14</f>
        <v>9</v>
      </c>
      <c r="C14" s="418" t="str">
        <f>SUMMARY!CJ14</f>
        <v>complex hydrodynamics</v>
      </c>
      <c r="D14" s="423">
        <f>SUMMARY!CK14</f>
        <v>3</v>
      </c>
      <c r="E14" s="418" t="str">
        <f>SUMMARY!CL14</f>
        <v>intermediate complexity water quality</v>
      </c>
      <c r="F14" s="423">
        <f>SUMMARY!CM14</f>
        <v>2</v>
      </c>
      <c r="G14" s="423" t="str">
        <f>SUMMARY!CW14</f>
        <v>intermediate complexity hydrodynamics</v>
      </c>
      <c r="H14" s="423" t="str">
        <f>SUMMARY!CY14</f>
        <v>intermediate complexity water quality</v>
      </c>
      <c r="K14" s="441" t="str">
        <f>SUMMARY!$B$14</f>
        <v>Mystic River</v>
      </c>
      <c r="L14" s="436">
        <f>SUMMARY!$C$14</f>
        <v>9</v>
      </c>
      <c r="M14" s="432" t="str">
        <f t="shared" si="0"/>
        <v/>
      </c>
      <c r="N14" s="430" t="str">
        <f t="shared" si="1"/>
        <v>X</v>
      </c>
      <c r="O14" s="436" t="str">
        <f t="shared" si="2"/>
        <v>&lt;</v>
      </c>
      <c r="P14" s="435" t="str">
        <f t="shared" si="3"/>
        <v/>
      </c>
      <c r="Q14" s="430" t="str">
        <f t="shared" si="4"/>
        <v>X</v>
      </c>
      <c r="R14" s="436" t="str">
        <f t="shared" si="6"/>
        <v/>
      </c>
      <c r="S14" s="446" t="str">
        <f t="shared" si="5"/>
        <v>*</v>
      </c>
      <c r="T14" s="444" t="str">
        <f>SUMMARY!CZ14</f>
        <v>Mid-size, shallow, WEANE Factor is in the intermediate range. Based on depth, intermediate hydrodynamics categorization is recommended over complex.</v>
      </c>
      <c r="V14" s="444" t="str">
        <f>SUMMARY!DA14</f>
        <v>WASP</v>
      </c>
    </row>
    <row r="15" spans="1:22" x14ac:dyDescent="0.35">
      <c r="A15" s="256" t="str">
        <f>SUMMARY!$B$15</f>
        <v>Bebee Cove</v>
      </c>
      <c r="B15" s="257">
        <f>SUMMARY!$C$15</f>
        <v>10</v>
      </c>
      <c r="C15" s="418" t="str">
        <f>SUMMARY!CJ15</f>
        <v>intermediate complexity hydrodynamics</v>
      </c>
      <c r="D15" s="423">
        <f>SUMMARY!CK15</f>
        <v>2</v>
      </c>
      <c r="E15" s="418" t="str">
        <f>SUMMARY!CL15</f>
        <v>intermediate or complex water quality</v>
      </c>
      <c r="F15" s="423">
        <f>SUMMARY!CM15</f>
        <v>3</v>
      </c>
      <c r="G15" s="423" t="str">
        <f>SUMMARY!CW15</f>
        <v>intermediate complexity hydrodynamics</v>
      </c>
      <c r="H15" s="423" t="str">
        <f>SUMMARY!CY15</f>
        <v>intermediate complexity water quality</v>
      </c>
      <c r="K15" s="441" t="str">
        <f>SUMMARY!$B$15</f>
        <v>Bebee Cove</v>
      </c>
      <c r="L15" s="436">
        <f>SUMMARY!$C$15</f>
        <v>10</v>
      </c>
      <c r="M15" s="432" t="str">
        <f t="shared" si="0"/>
        <v/>
      </c>
      <c r="N15" s="430" t="str">
        <f t="shared" si="1"/>
        <v>X</v>
      </c>
      <c r="O15" s="436" t="str">
        <f t="shared" si="2"/>
        <v/>
      </c>
      <c r="P15" s="435" t="str">
        <f t="shared" si="3"/>
        <v/>
      </c>
      <c r="Q15" s="430" t="str">
        <f t="shared" si="4"/>
        <v>X</v>
      </c>
      <c r="R15" s="436" t="str">
        <f t="shared" si="6"/>
        <v/>
      </c>
      <c r="S15" s="446" t="str">
        <f t="shared" si="5"/>
        <v/>
      </c>
      <c r="T15" s="444" t="str">
        <f>SUMMARY!CZ15</f>
        <v>N/A</v>
      </c>
      <c r="V15" s="444" t="str">
        <f>SUMMARY!DA15</f>
        <v>-</v>
      </c>
    </row>
    <row r="16" spans="1:22" ht="43.5" x14ac:dyDescent="0.35">
      <c r="A16" s="196" t="str">
        <f>SUMMARY!$B$16</f>
        <v>Mystic R. + Williams C. + Beebe C.</v>
      </c>
      <c r="B16" s="219" t="str">
        <f>SUMMARY!$C$16</f>
        <v xml:space="preserve"> 8-9-10</v>
      </c>
      <c r="C16" s="417" t="str">
        <f>SUMMARY!CJ16</f>
        <v>intermediate complexity hydrodynamics</v>
      </c>
      <c r="D16" s="422">
        <f>SUMMARY!CK16</f>
        <v>2</v>
      </c>
      <c r="E16" s="417" t="str">
        <f>SUMMARY!CL16</f>
        <v>intermediate or complex water quality</v>
      </c>
      <c r="F16" s="422">
        <f>SUMMARY!CM16</f>
        <v>3</v>
      </c>
      <c r="G16" s="422" t="str">
        <f>SUMMARY!CW16</f>
        <v>intermediate complexity hydrodynamics</v>
      </c>
      <c r="H16" s="422" t="str">
        <f>SUMMARY!CY16</f>
        <v>intermediate complexity water quality</v>
      </c>
      <c r="K16" s="441" t="str">
        <f>SUMMARY!$B$16</f>
        <v>Mystic R. + Williams C. + Beebe C.</v>
      </c>
      <c r="L16" s="442" t="str">
        <f>SUMMARY!$C$16</f>
        <v xml:space="preserve"> 8-9-10</v>
      </c>
      <c r="M16" s="432" t="str">
        <f t="shared" si="0"/>
        <v/>
      </c>
      <c r="N16" s="430" t="str">
        <f t="shared" si="1"/>
        <v>X</v>
      </c>
      <c r="O16" s="436" t="str">
        <f t="shared" si="2"/>
        <v/>
      </c>
      <c r="P16" s="435" t="str">
        <f t="shared" si="3"/>
        <v/>
      </c>
      <c r="Q16" s="430" t="str">
        <f t="shared" si="4"/>
        <v>X</v>
      </c>
      <c r="R16" s="436" t="str">
        <f t="shared" si="6"/>
        <v/>
      </c>
      <c r="S16" s="446" t="str">
        <f t="shared" si="5"/>
        <v>*</v>
      </c>
      <c r="T16" s="444" t="str">
        <f>SUMMARY!CZ16</f>
        <v>N/A</v>
      </c>
      <c r="V16" s="444" t="str">
        <f>SUMMARY!DA16</f>
        <v>WASP</v>
      </c>
    </row>
    <row r="17" spans="1:22" x14ac:dyDescent="0.35">
      <c r="A17" s="196" t="str">
        <f>SUMMARY!$B$17</f>
        <v>West Cove</v>
      </c>
      <c r="B17" s="210">
        <f>SUMMARY!$C$17</f>
        <v>11</v>
      </c>
      <c r="C17" s="417" t="str">
        <f>SUMMARY!CJ17</f>
        <v>simple complexity hydrodynamics</v>
      </c>
      <c r="D17" s="422">
        <f>SUMMARY!CK17</f>
        <v>1</v>
      </c>
      <c r="E17" s="417" t="str">
        <f>SUMMARY!CL17</f>
        <v>intermediate or complex water quality</v>
      </c>
      <c r="F17" s="422">
        <f>SUMMARY!CM17</f>
        <v>3</v>
      </c>
      <c r="G17" s="422" t="str">
        <f>SUMMARY!CW17</f>
        <v>simple complexity hydrodynamics</v>
      </c>
      <c r="H17" s="422" t="str">
        <f>SUMMARY!CY17</f>
        <v>intermediate complexity water quality</v>
      </c>
      <c r="K17" s="441" t="str">
        <f>SUMMARY!$B$17</f>
        <v>West Cove</v>
      </c>
      <c r="L17" s="436">
        <f>SUMMARY!$C$17</f>
        <v>11</v>
      </c>
      <c r="M17" s="432" t="str">
        <f t="shared" si="0"/>
        <v>X</v>
      </c>
      <c r="N17" s="430" t="str">
        <f t="shared" si="1"/>
        <v/>
      </c>
      <c r="O17" s="436" t="str">
        <f t="shared" si="2"/>
        <v/>
      </c>
      <c r="P17" s="435" t="str">
        <f t="shared" si="3"/>
        <v/>
      </c>
      <c r="Q17" s="430" t="str">
        <f t="shared" si="4"/>
        <v>X</v>
      </c>
      <c r="R17" s="436" t="str">
        <f t="shared" si="6"/>
        <v/>
      </c>
      <c r="S17" s="446" t="str">
        <f t="shared" si="5"/>
        <v/>
      </c>
      <c r="T17" s="444" t="str">
        <f>SUMMARY!CZ17</f>
        <v>N/A</v>
      </c>
      <c r="V17" s="444" t="str">
        <f>SUMMARY!DA17</f>
        <v>-</v>
      </c>
    </row>
    <row r="18" spans="1:22" x14ac:dyDescent="0.35">
      <c r="A18" s="196" t="str">
        <f>SUMMARY!$B$18</f>
        <v>Palmer Cove</v>
      </c>
      <c r="B18" s="210">
        <f>SUMMARY!$C$18</f>
        <v>12</v>
      </c>
      <c r="C18" s="417" t="str">
        <f>SUMMARY!CJ18</f>
        <v>intermediate complexity hydrodynamics</v>
      </c>
      <c r="D18" s="422">
        <f>SUMMARY!CK18</f>
        <v>2</v>
      </c>
      <c r="E18" s="417" t="str">
        <f>SUMMARY!CL18</f>
        <v>intermediate or complex water quality</v>
      </c>
      <c r="F18" s="422">
        <f>SUMMARY!CM18</f>
        <v>3</v>
      </c>
      <c r="G18" s="422" t="str">
        <f>SUMMARY!CW18</f>
        <v>intermediate complexity hydrodynamics</v>
      </c>
      <c r="H18" s="422" t="str">
        <f>SUMMARY!CY18</f>
        <v>intermediate complexity water quality</v>
      </c>
      <c r="K18" s="441" t="str">
        <f>SUMMARY!$B$18</f>
        <v>Palmer Cove</v>
      </c>
      <c r="L18" s="436">
        <f>SUMMARY!$C$18</f>
        <v>12</v>
      </c>
      <c r="M18" s="432" t="str">
        <f t="shared" si="0"/>
        <v/>
      </c>
      <c r="N18" s="430" t="str">
        <f t="shared" si="1"/>
        <v>X</v>
      </c>
      <c r="O18" s="436" t="str">
        <f t="shared" si="2"/>
        <v/>
      </c>
      <c r="P18" s="435" t="str">
        <f t="shared" si="3"/>
        <v/>
      </c>
      <c r="Q18" s="430" t="str">
        <f t="shared" si="4"/>
        <v>X</v>
      </c>
      <c r="R18" s="436" t="str">
        <f t="shared" si="6"/>
        <v/>
      </c>
      <c r="S18" s="446" t="str">
        <f t="shared" si="5"/>
        <v/>
      </c>
      <c r="T18" s="444" t="str">
        <f>SUMMARY!CZ18</f>
        <v>N/A</v>
      </c>
      <c r="V18" s="444" t="str">
        <f>SUMMARY!DA18</f>
        <v>-</v>
      </c>
    </row>
    <row r="19" spans="1:22" x14ac:dyDescent="0.35">
      <c r="A19" s="196" t="str">
        <f>SUMMARY!$B$19</f>
        <v>Venetian Harbor</v>
      </c>
      <c r="B19" s="210">
        <f>SUMMARY!$C$19</f>
        <v>13</v>
      </c>
      <c r="C19" s="417" t="str">
        <f>SUMMARY!CJ19</f>
        <v>simple complexity hydrodynamics</v>
      </c>
      <c r="D19" s="422">
        <f>SUMMARY!CK19</f>
        <v>1</v>
      </c>
      <c r="E19" s="417" t="str">
        <f>SUMMARY!CL19</f>
        <v>intermediate or complex water quality</v>
      </c>
      <c r="F19" s="422">
        <f>SUMMARY!CM19</f>
        <v>3</v>
      </c>
      <c r="G19" s="422" t="str">
        <f>SUMMARY!CW19</f>
        <v>simple complexity hydrodynamics</v>
      </c>
      <c r="H19" s="422" t="str">
        <f>SUMMARY!CY19</f>
        <v>intermediate complexity water quality</v>
      </c>
      <c r="K19" s="441" t="str">
        <f>SUMMARY!$B$19</f>
        <v>Venetian Harbor</v>
      </c>
      <c r="L19" s="436">
        <f>SUMMARY!$C$19</f>
        <v>13</v>
      </c>
      <c r="M19" s="432" t="str">
        <f t="shared" si="0"/>
        <v>X</v>
      </c>
      <c r="N19" s="430" t="str">
        <f t="shared" si="1"/>
        <v/>
      </c>
      <c r="O19" s="436" t="str">
        <f t="shared" si="2"/>
        <v/>
      </c>
      <c r="P19" s="435" t="str">
        <f t="shared" si="3"/>
        <v/>
      </c>
      <c r="Q19" s="430" t="str">
        <f t="shared" si="4"/>
        <v>X</v>
      </c>
      <c r="R19" s="436" t="str">
        <f t="shared" si="6"/>
        <v/>
      </c>
      <c r="S19" s="446" t="str">
        <f t="shared" si="5"/>
        <v/>
      </c>
      <c r="T19" s="444" t="str">
        <f>SUMMARY!CZ19</f>
        <v>N/A</v>
      </c>
      <c r="V19" s="444" t="str">
        <f>SUMMARY!DA19</f>
        <v>-</v>
      </c>
    </row>
    <row r="20" spans="1:22" x14ac:dyDescent="0.35">
      <c r="A20" s="196" t="str">
        <f>SUMMARY!$B$20</f>
        <v>Mumford Cove</v>
      </c>
      <c r="B20" s="210">
        <f>SUMMARY!$C$20</f>
        <v>14</v>
      </c>
      <c r="C20" s="417" t="str">
        <f>SUMMARY!CJ20</f>
        <v>intermediate complexity hydrodynamics</v>
      </c>
      <c r="D20" s="422">
        <f>SUMMARY!CK20</f>
        <v>2</v>
      </c>
      <c r="E20" s="417" t="str">
        <f>SUMMARY!CL20</f>
        <v>intermediate complexity water quality</v>
      </c>
      <c r="F20" s="422">
        <f>SUMMARY!CM20</f>
        <v>2</v>
      </c>
      <c r="G20" s="422" t="str">
        <f>SUMMARY!CW20</f>
        <v>intermediate complexity hydrodynamics</v>
      </c>
      <c r="H20" s="422" t="str">
        <f>SUMMARY!CY20</f>
        <v>intermediate complexity water quality</v>
      </c>
      <c r="K20" s="441" t="str">
        <f>SUMMARY!$B$20</f>
        <v>Mumford Cove</v>
      </c>
      <c r="L20" s="436">
        <f>SUMMARY!$C$20</f>
        <v>14</v>
      </c>
      <c r="M20" s="432" t="str">
        <f t="shared" si="0"/>
        <v/>
      </c>
      <c r="N20" s="430" t="str">
        <f t="shared" si="1"/>
        <v>X</v>
      </c>
      <c r="O20" s="436" t="str">
        <f t="shared" si="2"/>
        <v/>
      </c>
      <c r="P20" s="435" t="str">
        <f t="shared" si="3"/>
        <v/>
      </c>
      <c r="Q20" s="430" t="str">
        <f t="shared" si="4"/>
        <v>X</v>
      </c>
      <c r="R20" s="436" t="str">
        <f t="shared" si="6"/>
        <v/>
      </c>
      <c r="S20" s="446" t="str">
        <f t="shared" si="5"/>
        <v/>
      </c>
      <c r="T20" s="444" t="str">
        <f>SUMMARY!CZ20</f>
        <v>N/A</v>
      </c>
      <c r="V20" s="444" t="str">
        <f>SUMMARY!DA20</f>
        <v>-</v>
      </c>
    </row>
    <row r="21" spans="1:22" ht="36" x14ac:dyDescent="0.35">
      <c r="A21" s="196" t="str">
        <f>SUMMARY!$B$21</f>
        <v>Poquonock River</v>
      </c>
      <c r="B21" s="210">
        <f>SUMMARY!$C$21</f>
        <v>15</v>
      </c>
      <c r="C21" s="417" t="str">
        <f>SUMMARY!CJ21</f>
        <v>complex hydrodynamics</v>
      </c>
      <c r="D21" s="422">
        <f>SUMMARY!CK21</f>
        <v>3</v>
      </c>
      <c r="E21" s="417" t="str">
        <f>SUMMARY!CL21</f>
        <v>intermediate complexity water quality</v>
      </c>
      <c r="F21" s="422">
        <f>SUMMARY!CM21</f>
        <v>2</v>
      </c>
      <c r="G21" s="422" t="str">
        <f>SUMMARY!CW21</f>
        <v>intermediate complexity hydrodynamics</v>
      </c>
      <c r="H21" s="422" t="str">
        <f>SUMMARY!CY21</f>
        <v>intermediate complexity water quality</v>
      </c>
      <c r="K21" s="441" t="str">
        <f>SUMMARY!$B$21</f>
        <v>Poquonock River</v>
      </c>
      <c r="L21" s="436">
        <f>SUMMARY!$C$21</f>
        <v>15</v>
      </c>
      <c r="M21" s="432" t="str">
        <f t="shared" si="0"/>
        <v/>
      </c>
      <c r="N21" s="430" t="str">
        <f t="shared" si="1"/>
        <v>X</v>
      </c>
      <c r="O21" s="436" t="str">
        <f t="shared" si="2"/>
        <v>&lt;</v>
      </c>
      <c r="P21" s="435" t="str">
        <f t="shared" si="3"/>
        <v/>
      </c>
      <c r="Q21" s="430" t="str">
        <f t="shared" si="4"/>
        <v>X</v>
      </c>
      <c r="R21" s="436" t="str">
        <f t="shared" si="6"/>
        <v/>
      </c>
      <c r="S21" s="446" t="str">
        <f t="shared" si="5"/>
        <v/>
      </c>
      <c r="T21" s="444" t="str">
        <f>SUMMARY!CZ21</f>
        <v>Mid-size but shallow with multiple restrictions. Intermediate WEANE Factor. Based on depth and WEANE Factor, intermediate hydrodynamics categorization is recommended over complex.</v>
      </c>
      <c r="V21" s="444" t="str">
        <f>SUMMARY!DA21</f>
        <v>-</v>
      </c>
    </row>
    <row r="22" spans="1:22" x14ac:dyDescent="0.35">
      <c r="A22" s="196" t="str">
        <f>SUMMARY!$B$22</f>
        <v>Baker Cove</v>
      </c>
      <c r="B22" s="210">
        <f>SUMMARY!$C$22</f>
        <v>16</v>
      </c>
      <c r="C22" s="417" t="str">
        <f>SUMMARY!CJ22</f>
        <v>intermediate complexity hydrodynamics</v>
      </c>
      <c r="D22" s="422">
        <f>SUMMARY!CK22</f>
        <v>2</v>
      </c>
      <c r="E22" s="417" t="str">
        <f>SUMMARY!CL22</f>
        <v>intermediate or complex water quality</v>
      </c>
      <c r="F22" s="422">
        <f>SUMMARY!CM22</f>
        <v>3</v>
      </c>
      <c r="G22" s="422" t="str">
        <f>SUMMARY!CW22</f>
        <v>intermediate complexity hydrodynamics</v>
      </c>
      <c r="H22" s="422" t="str">
        <f>SUMMARY!CY22</f>
        <v>intermediate complexity water quality</v>
      </c>
      <c r="K22" s="441" t="str">
        <f>SUMMARY!$B$22</f>
        <v>Baker Cove</v>
      </c>
      <c r="L22" s="436">
        <f>SUMMARY!$C$22</f>
        <v>16</v>
      </c>
      <c r="M22" s="432" t="str">
        <f t="shared" si="0"/>
        <v/>
      </c>
      <c r="N22" s="430" t="str">
        <f t="shared" si="1"/>
        <v>X</v>
      </c>
      <c r="O22" s="436" t="str">
        <f t="shared" si="2"/>
        <v/>
      </c>
      <c r="P22" s="435" t="str">
        <f t="shared" si="3"/>
        <v/>
      </c>
      <c r="Q22" s="430" t="str">
        <f t="shared" si="4"/>
        <v>X</v>
      </c>
      <c r="R22" s="436" t="str">
        <f t="shared" si="6"/>
        <v/>
      </c>
      <c r="S22" s="446" t="str">
        <f t="shared" si="5"/>
        <v/>
      </c>
      <c r="T22" s="444" t="str">
        <f>SUMMARY!CZ22</f>
        <v>N/A</v>
      </c>
      <c r="V22" s="444" t="str">
        <f>SUMMARY!DA22</f>
        <v>-</v>
      </c>
    </row>
    <row r="23" spans="1:22" x14ac:dyDescent="0.35">
      <c r="A23" s="196" t="str">
        <f>SUMMARY!$B$24</f>
        <v>Alewife Cove</v>
      </c>
      <c r="B23" s="210">
        <f>SUMMARY!$C$24</f>
        <v>18</v>
      </c>
      <c r="C23" s="417" t="str">
        <f>SUMMARY!CJ24</f>
        <v>intermediate complexity hydrodynamics</v>
      </c>
      <c r="D23" s="422">
        <f>SUMMARY!CK24</f>
        <v>2</v>
      </c>
      <c r="E23" s="417" t="str">
        <f>SUMMARY!CL24</f>
        <v>intermediate complexity water quality</v>
      </c>
      <c r="F23" s="422">
        <f>SUMMARY!CM24</f>
        <v>2</v>
      </c>
      <c r="G23" s="422" t="str">
        <f>SUMMARY!CW24</f>
        <v>intermediate complexity hydrodynamics</v>
      </c>
      <c r="H23" s="422" t="str">
        <f>SUMMARY!CY24</f>
        <v>intermediate complexity water quality</v>
      </c>
      <c r="K23" s="441" t="str">
        <f>SUMMARY!$B$24</f>
        <v>Alewife Cove</v>
      </c>
      <c r="L23" s="436">
        <f>SUMMARY!$C$24</f>
        <v>18</v>
      </c>
      <c r="M23" s="432" t="str">
        <f t="shared" si="0"/>
        <v/>
      </c>
      <c r="N23" s="430" t="str">
        <f t="shared" si="1"/>
        <v>X</v>
      </c>
      <c r="O23" s="436" t="str">
        <f t="shared" si="2"/>
        <v/>
      </c>
      <c r="P23" s="435" t="str">
        <f t="shared" si="3"/>
        <v/>
      </c>
      <c r="Q23" s="430" t="str">
        <f t="shared" si="4"/>
        <v>X</v>
      </c>
      <c r="R23" s="436" t="str">
        <f t="shared" si="6"/>
        <v/>
      </c>
      <c r="S23" s="446" t="str">
        <f t="shared" si="5"/>
        <v/>
      </c>
      <c r="T23" s="444" t="str">
        <f>SUMMARY!CZ24</f>
        <v>N/A</v>
      </c>
      <c r="V23" s="444" t="str">
        <f>SUMMARY!DA24</f>
        <v>-</v>
      </c>
    </row>
    <row r="24" spans="1:22" x14ac:dyDescent="0.35">
      <c r="A24" s="196" t="str">
        <f>SUMMARY!$B$25</f>
        <v>Goshen Cove</v>
      </c>
      <c r="B24" s="210">
        <f>SUMMARY!$C$25</f>
        <v>19</v>
      </c>
      <c r="C24" s="417" t="str">
        <f>SUMMARY!CJ25</f>
        <v>intermediate complexity hydrodynamics</v>
      </c>
      <c r="D24" s="422">
        <f>SUMMARY!CK25</f>
        <v>2</v>
      </c>
      <c r="E24" s="417" t="str">
        <f>SUMMARY!CL25</f>
        <v>intermediate or complex water quality</v>
      </c>
      <c r="F24" s="422">
        <f>SUMMARY!CM25</f>
        <v>3</v>
      </c>
      <c r="G24" s="422" t="str">
        <f>SUMMARY!CW25</f>
        <v>intermediate complexity hydrodynamics</v>
      </c>
      <c r="H24" s="422" t="str">
        <f>SUMMARY!CY25</f>
        <v>intermediate complexity water quality</v>
      </c>
      <c r="K24" s="441" t="str">
        <f>SUMMARY!$B$25</f>
        <v>Goshen Cove</v>
      </c>
      <c r="L24" s="436">
        <f>SUMMARY!$C$25</f>
        <v>19</v>
      </c>
      <c r="M24" s="432" t="str">
        <f t="shared" si="0"/>
        <v/>
      </c>
      <c r="N24" s="430" t="str">
        <f t="shared" si="1"/>
        <v>X</v>
      </c>
      <c r="O24" s="436" t="str">
        <f t="shared" si="2"/>
        <v/>
      </c>
      <c r="P24" s="435" t="str">
        <f t="shared" si="3"/>
        <v/>
      </c>
      <c r="Q24" s="430" t="str">
        <f t="shared" si="4"/>
        <v>X</v>
      </c>
      <c r="R24" s="436" t="str">
        <f t="shared" si="6"/>
        <v/>
      </c>
      <c r="S24" s="446" t="str">
        <f t="shared" si="5"/>
        <v/>
      </c>
      <c r="T24" s="444" t="str">
        <f>SUMMARY!CZ25</f>
        <v>N/A</v>
      </c>
      <c r="V24" s="444" t="str">
        <f>SUMMARY!DA25</f>
        <v>-</v>
      </c>
    </row>
    <row r="25" spans="1:22" x14ac:dyDescent="0.35">
      <c r="A25" s="196" t="str">
        <f>SUMMARY!$B$26</f>
        <v>Jordan Cove</v>
      </c>
      <c r="B25" s="210">
        <f>SUMMARY!$C$26</f>
        <v>20</v>
      </c>
      <c r="C25" s="417" t="str">
        <f>SUMMARY!CJ26</f>
        <v>complex hydrodynamics</v>
      </c>
      <c r="D25" s="422">
        <f>SUMMARY!CK26</f>
        <v>3</v>
      </c>
      <c r="E25" s="417" t="str">
        <f>SUMMARY!CL26</f>
        <v>intermediate complexity water quality</v>
      </c>
      <c r="F25" s="422">
        <f>SUMMARY!CM26</f>
        <v>2</v>
      </c>
      <c r="G25" s="422" t="str">
        <f>SUMMARY!CW26</f>
        <v>complex hydrodynamics</v>
      </c>
      <c r="H25" s="422" t="str">
        <f>SUMMARY!CY26</f>
        <v>intermediate complexity water quality</v>
      </c>
      <c r="K25" s="441" t="str">
        <f>SUMMARY!$B$26</f>
        <v>Jordan Cove</v>
      </c>
      <c r="L25" s="436">
        <f>SUMMARY!$C$26</f>
        <v>20</v>
      </c>
      <c r="M25" s="432" t="str">
        <f t="shared" si="0"/>
        <v/>
      </c>
      <c r="N25" s="430" t="str">
        <f t="shared" si="1"/>
        <v/>
      </c>
      <c r="O25" s="436" t="str">
        <f t="shared" si="2"/>
        <v>X</v>
      </c>
      <c r="P25" s="435" t="str">
        <f t="shared" si="3"/>
        <v/>
      </c>
      <c r="Q25" s="430" t="str">
        <f t="shared" si="4"/>
        <v>X</v>
      </c>
      <c r="R25" s="436" t="str">
        <f t="shared" si="6"/>
        <v/>
      </c>
      <c r="S25" s="446" t="str">
        <f t="shared" si="5"/>
        <v/>
      </c>
      <c r="T25" s="444" t="str">
        <f>SUMMARY!CZ26</f>
        <v>N/A</v>
      </c>
      <c r="V25" s="444" t="str">
        <f>SUMMARY!DA26</f>
        <v>-</v>
      </c>
    </row>
    <row r="26" spans="1:22" ht="48" x14ac:dyDescent="0.35">
      <c r="A26" s="196" t="str">
        <f>SUMMARY!$B$27</f>
        <v>Gardners Pond</v>
      </c>
      <c r="B26" s="210">
        <f>SUMMARY!$C$27</f>
        <v>21</v>
      </c>
      <c r="C26" s="417" t="str">
        <f>SUMMARY!CJ27</f>
        <v>intermediate complexity hydrodynamics</v>
      </c>
      <c r="D26" s="422">
        <f>SUMMARY!CK27</f>
        <v>2</v>
      </c>
      <c r="E26" s="417" t="str">
        <f>SUMMARY!CL27</f>
        <v>intermediate complexity water quality</v>
      </c>
      <c r="F26" s="422">
        <f>SUMMARY!CM27</f>
        <v>2</v>
      </c>
      <c r="G26" s="422" t="str">
        <f>SUMMARY!CW27</f>
        <v>simple complexity hydrodynamics</v>
      </c>
      <c r="H26" s="422" t="str">
        <f>SUMMARY!CY27</f>
        <v>intermediate complexity water quality</v>
      </c>
      <c r="K26" s="441" t="str">
        <f>SUMMARY!$B$27</f>
        <v>Gardners Pond</v>
      </c>
      <c r="L26" s="436">
        <f>SUMMARY!$C$27</f>
        <v>21</v>
      </c>
      <c r="M26" s="432" t="str">
        <f t="shared" si="0"/>
        <v>X</v>
      </c>
      <c r="N26" s="430" t="str">
        <f t="shared" si="1"/>
        <v>&lt;</v>
      </c>
      <c r="O26" s="436" t="str">
        <f t="shared" si="2"/>
        <v/>
      </c>
      <c r="P26" s="435" t="str">
        <f t="shared" si="3"/>
        <v/>
      </c>
      <c r="Q26" s="430" t="str">
        <f t="shared" si="4"/>
        <v>X</v>
      </c>
      <c r="R26" s="436" t="str">
        <f t="shared" si="6"/>
        <v/>
      </c>
      <c r="S26" s="446" t="str">
        <f t="shared" si="5"/>
        <v/>
      </c>
      <c r="T26" s="444" t="str">
        <f>SUMMARY!CZ27</f>
        <v>Tiny and shallow with a lower to mid-level salinity dilution ratio and low sinuosity. The WEANE Factor is intermediate. Based on depth and size, simple hydrodynamics categorization is recommended over intermediate.</v>
      </c>
      <c r="V26" s="444" t="str">
        <f>SUMMARY!DA27</f>
        <v>-</v>
      </c>
    </row>
    <row r="27" spans="1:22" x14ac:dyDescent="0.35">
      <c r="A27" s="256" t="str">
        <f>SUMMARY!$B$28</f>
        <v>Niantic River</v>
      </c>
      <c r="B27" s="257">
        <f>SUMMARY!$C$28</f>
        <v>22</v>
      </c>
      <c r="C27" s="418" t="str">
        <f>SUMMARY!CJ28</f>
        <v>intermediate complexity hydrodynamics</v>
      </c>
      <c r="D27" s="423">
        <f>SUMMARY!CK28</f>
        <v>2</v>
      </c>
      <c r="E27" s="418" t="str">
        <f>SUMMARY!CL28</f>
        <v>intermediate complexity water quality</v>
      </c>
      <c r="F27" s="423">
        <f>SUMMARY!CM28</f>
        <v>2</v>
      </c>
      <c r="G27" s="423" t="str">
        <f>SUMMARY!CW28</f>
        <v>intermediate complexity hydrodynamics</v>
      </c>
      <c r="H27" s="423" t="str">
        <f>SUMMARY!CY28</f>
        <v>intermediate complexity water quality</v>
      </c>
      <c r="K27" s="441" t="str">
        <f>SUMMARY!$B$28</f>
        <v>Niantic River</v>
      </c>
      <c r="L27" s="436">
        <f>SUMMARY!$C$28</f>
        <v>22</v>
      </c>
      <c r="M27" s="432" t="str">
        <f t="shared" si="0"/>
        <v/>
      </c>
      <c r="N27" s="430" t="str">
        <f t="shared" si="1"/>
        <v>X</v>
      </c>
      <c r="O27" s="436" t="str">
        <f t="shared" si="2"/>
        <v/>
      </c>
      <c r="P27" s="435" t="str">
        <f t="shared" si="3"/>
        <v/>
      </c>
      <c r="Q27" s="430" t="str">
        <f t="shared" si="4"/>
        <v>X</v>
      </c>
      <c r="R27" s="436" t="str">
        <f t="shared" si="6"/>
        <v/>
      </c>
      <c r="S27" s="446" t="str">
        <f t="shared" si="5"/>
        <v/>
      </c>
      <c r="T27" s="444" t="str">
        <f>SUMMARY!CZ28</f>
        <v>N/A</v>
      </c>
      <c r="V27" s="444" t="str">
        <f>SUMMARY!DA28</f>
        <v>-</v>
      </c>
    </row>
    <row r="28" spans="1:22" x14ac:dyDescent="0.35">
      <c r="A28" s="256" t="str">
        <f>SUMMARY!$B$29</f>
        <v>Niantic Bay</v>
      </c>
      <c r="B28" s="257">
        <f>SUMMARY!$C$29</f>
        <v>23</v>
      </c>
      <c r="C28" s="418" t="str">
        <f>SUMMARY!CJ29</f>
        <v>intermediate complexity hydrodynamics</v>
      </c>
      <c r="D28" s="423">
        <f>SUMMARY!CK29</f>
        <v>2</v>
      </c>
      <c r="E28" s="418" t="str">
        <f>SUMMARY!CL29</f>
        <v>intermediate complexity water quality</v>
      </c>
      <c r="F28" s="423">
        <f>SUMMARY!CM29</f>
        <v>2</v>
      </c>
      <c r="G28" s="423" t="str">
        <f>SUMMARY!CW29</f>
        <v>intermediate complexity hydrodynamics</v>
      </c>
      <c r="H28" s="423" t="str">
        <f>SUMMARY!CY29</f>
        <v>intermediate complexity water quality</v>
      </c>
      <c r="K28" s="441" t="str">
        <f>SUMMARY!$B$29</f>
        <v>Niantic Bay</v>
      </c>
      <c r="L28" s="436">
        <f>SUMMARY!$C$29</f>
        <v>23</v>
      </c>
      <c r="M28" s="432" t="str">
        <f t="shared" si="0"/>
        <v/>
      </c>
      <c r="N28" s="430" t="str">
        <f t="shared" si="1"/>
        <v>X</v>
      </c>
      <c r="O28" s="436" t="str">
        <f t="shared" si="2"/>
        <v/>
      </c>
      <c r="P28" s="435" t="str">
        <f t="shared" si="3"/>
        <v/>
      </c>
      <c r="Q28" s="430" t="str">
        <f t="shared" si="4"/>
        <v>X</v>
      </c>
      <c r="R28" s="436" t="str">
        <f t="shared" si="6"/>
        <v/>
      </c>
      <c r="S28" s="446" t="str">
        <f t="shared" si="5"/>
        <v/>
      </c>
      <c r="T28" s="444" t="str">
        <f>SUMMARY!CZ29</f>
        <v>N/A</v>
      </c>
      <c r="V28" s="444" t="str">
        <f>SUMMARY!DA29</f>
        <v>-</v>
      </c>
    </row>
    <row r="29" spans="1:22" ht="36" x14ac:dyDescent="0.35">
      <c r="A29" s="196" t="str">
        <f>SUMMARY!$B$30</f>
        <v>Niantic River + Niantic Bay</v>
      </c>
      <c r="B29" s="210" t="str">
        <f>SUMMARY!$C$30</f>
        <v>22-23</v>
      </c>
      <c r="C29" s="417" t="str">
        <f>SUMMARY!CJ30</f>
        <v>intermediate complexity hydrodynamics</v>
      </c>
      <c r="D29" s="422">
        <f>SUMMARY!CK30</f>
        <v>2</v>
      </c>
      <c r="E29" s="417" t="str">
        <f>SUMMARY!CL30</f>
        <v>intermediate complexity water quality</v>
      </c>
      <c r="F29" s="422">
        <f>SUMMARY!CM30</f>
        <v>2</v>
      </c>
      <c r="G29" s="422" t="str">
        <f>SUMMARY!CW30</f>
        <v>complex hydrodynamics</v>
      </c>
      <c r="H29" s="422" t="str">
        <f>SUMMARY!CY30</f>
        <v>intermediate complexity water quality</v>
      </c>
      <c r="K29" s="441" t="str">
        <f>SUMMARY!$B$30</f>
        <v>Niantic River + Niantic Bay</v>
      </c>
      <c r="L29" s="436" t="str">
        <f>SUMMARY!$C$30</f>
        <v>22-23</v>
      </c>
      <c r="M29" s="432" t="str">
        <f t="shared" si="0"/>
        <v/>
      </c>
      <c r="N29" s="430" t="str">
        <f t="shared" si="1"/>
        <v>&gt;</v>
      </c>
      <c r="O29" s="436" t="str">
        <f t="shared" si="2"/>
        <v>X</v>
      </c>
      <c r="P29" s="435" t="str">
        <f t="shared" si="3"/>
        <v/>
      </c>
      <c r="Q29" s="430" t="str">
        <f t="shared" si="4"/>
        <v>X</v>
      </c>
      <c r="R29" s="436" t="str">
        <f t="shared" si="6"/>
        <v/>
      </c>
      <c r="S29" s="446" t="str">
        <f t="shared" si="5"/>
        <v/>
      </c>
      <c r="T29" s="444" t="str">
        <f>SUMMARY!CZ30</f>
        <v>Deep and large with an intermediate WEANE Factor. Based on depth and size, complex hydrodynamics categorization recommended over intermediate.</v>
      </c>
      <c r="V29" s="444" t="str">
        <f>SUMMARY!DA30</f>
        <v>-</v>
      </c>
    </row>
    <row r="30" spans="1:22" ht="60" x14ac:dyDescent="0.35">
      <c r="A30" s="196" t="str">
        <f>SUMMARY!$B$31</f>
        <v>Pattagansett River</v>
      </c>
      <c r="B30" s="210">
        <f>SUMMARY!$C$31</f>
        <v>24</v>
      </c>
      <c r="C30" s="417" t="str">
        <f>SUMMARY!CJ31</f>
        <v>complex hydrodynamics</v>
      </c>
      <c r="D30" s="422">
        <f>SUMMARY!CK31</f>
        <v>3</v>
      </c>
      <c r="E30" s="417" t="str">
        <f>SUMMARY!CL31</f>
        <v>simple complexity water quality</v>
      </c>
      <c r="F30" s="422">
        <f>SUMMARY!CM31</f>
        <v>1</v>
      </c>
      <c r="G30" s="422" t="str">
        <f>SUMMARY!CW31</f>
        <v>intermediate complexity hydrodynamics</v>
      </c>
      <c r="H30" s="422" t="str">
        <f>SUMMARY!CY31</f>
        <v>simple complexity water quality</v>
      </c>
      <c r="K30" s="441" t="str">
        <f>SUMMARY!$B$31</f>
        <v>Pattagansett River</v>
      </c>
      <c r="L30" s="436">
        <f>SUMMARY!$C$31</f>
        <v>24</v>
      </c>
      <c r="M30" s="432" t="str">
        <f t="shared" si="0"/>
        <v/>
      </c>
      <c r="N30" s="430" t="str">
        <f t="shared" si="1"/>
        <v>X</v>
      </c>
      <c r="O30" s="436" t="str">
        <f t="shared" si="2"/>
        <v>&lt;</v>
      </c>
      <c r="P30" s="435" t="str">
        <f t="shared" si="3"/>
        <v>X</v>
      </c>
      <c r="Q30" s="430" t="str">
        <f t="shared" si="4"/>
        <v/>
      </c>
      <c r="R30" s="436" t="str">
        <f t="shared" si="6"/>
        <v/>
      </c>
      <c r="S30" s="446" t="str">
        <f t="shared" si="5"/>
        <v/>
      </c>
      <c r="T30" s="444" t="str">
        <f>SUMMARY!CZ31</f>
        <v>Very small and shallow with a very low WEANE Factor, but high salinity dilution ratio and high sinuosity may mean that the inner area is different from the outer area. Based on depth and size, intermediate hydrodynamics categorization is recommended over complex.</v>
      </c>
      <c r="V30" s="444" t="str">
        <f>SUMMARY!DA31</f>
        <v>-</v>
      </c>
    </row>
    <row r="31" spans="1:22" ht="36" x14ac:dyDescent="0.35">
      <c r="A31" s="196" t="str">
        <f>SUMMARY!$B$32</f>
        <v>Bride Brook</v>
      </c>
      <c r="B31" s="210">
        <f>SUMMARY!$C$32</f>
        <v>25</v>
      </c>
      <c r="C31" s="417" t="str">
        <f>SUMMARY!CJ32</f>
        <v>complex hydrodynamics</v>
      </c>
      <c r="D31" s="422">
        <f>SUMMARY!CK32</f>
        <v>3</v>
      </c>
      <c r="E31" s="417" t="str">
        <f>SUMMARY!CL32</f>
        <v>intermediate complexity water quality</v>
      </c>
      <c r="F31" s="422">
        <f>SUMMARY!CM32</f>
        <v>2</v>
      </c>
      <c r="G31" s="422" t="str">
        <f>SUMMARY!CW32</f>
        <v>intermediate complexity hydrodynamics</v>
      </c>
      <c r="H31" s="422" t="str">
        <f>SUMMARY!CY32</f>
        <v>intermediate complexity water quality</v>
      </c>
      <c r="K31" s="441" t="str">
        <f>SUMMARY!$B$32</f>
        <v>Bride Brook</v>
      </c>
      <c r="L31" s="436">
        <f>SUMMARY!$C$32</f>
        <v>25</v>
      </c>
      <c r="M31" s="432" t="str">
        <f t="shared" si="0"/>
        <v/>
      </c>
      <c r="N31" s="430" t="str">
        <f t="shared" si="1"/>
        <v>X</v>
      </c>
      <c r="O31" s="436" t="str">
        <f t="shared" si="2"/>
        <v>&lt;</v>
      </c>
      <c r="P31" s="435" t="str">
        <f t="shared" si="3"/>
        <v/>
      </c>
      <c r="Q31" s="430" t="str">
        <f t="shared" si="4"/>
        <v>X</v>
      </c>
      <c r="R31" s="436" t="str">
        <f t="shared" si="6"/>
        <v/>
      </c>
      <c r="S31" s="446" t="str">
        <f t="shared" si="5"/>
        <v/>
      </c>
      <c r="T31" s="444" t="str">
        <f>SUMMARY!CZ32</f>
        <v>Intermediate WEANE Factor, small size, and shallow depth suggest an intermediate hydrodynamics categorization is likely more appropriate than complex hydrodynamics.</v>
      </c>
      <c r="V31" s="444" t="str">
        <f>SUMMARY!DA32</f>
        <v>-</v>
      </c>
    </row>
    <row r="32" spans="1:22" ht="72" x14ac:dyDescent="0.35">
      <c r="A32" s="196" t="str">
        <f>SUMMARY!$B$33</f>
        <v>Four Mile River</v>
      </c>
      <c r="B32" s="210">
        <f>SUMMARY!$C$33</f>
        <v>26</v>
      </c>
      <c r="C32" s="417" t="str">
        <f>SUMMARY!CJ33</f>
        <v>complex hydrodynamics</v>
      </c>
      <c r="D32" s="422">
        <f>SUMMARY!CK33</f>
        <v>3</v>
      </c>
      <c r="E32" s="417" t="str">
        <f>SUMMARY!CL33</f>
        <v>simple complexity water quality</v>
      </c>
      <c r="F32" s="422">
        <f>SUMMARY!CM33</f>
        <v>1</v>
      </c>
      <c r="G32" s="422" t="str">
        <f>SUMMARY!CW33</f>
        <v>intermediate complexity hydrodynamics</v>
      </c>
      <c r="H32" s="422" t="str">
        <f>SUMMARY!CY33</f>
        <v>simple complexity water quality</v>
      </c>
      <c r="K32" s="441" t="str">
        <f>SUMMARY!$B$33</f>
        <v>Four Mile River</v>
      </c>
      <c r="L32" s="436">
        <f>SUMMARY!$C$33</f>
        <v>26</v>
      </c>
      <c r="M32" s="432" t="str">
        <f t="shared" si="0"/>
        <v/>
      </c>
      <c r="N32" s="430" t="str">
        <f t="shared" si="1"/>
        <v>X</v>
      </c>
      <c r="O32" s="436" t="str">
        <f t="shared" si="2"/>
        <v>&lt;</v>
      </c>
      <c r="P32" s="435" t="str">
        <f t="shared" si="3"/>
        <v>X</v>
      </c>
      <c r="Q32" s="430" t="str">
        <f t="shared" si="4"/>
        <v/>
      </c>
      <c r="R32" s="436" t="str">
        <f t="shared" si="6"/>
        <v/>
      </c>
      <c r="S32" s="446" t="str">
        <f t="shared" si="5"/>
        <v/>
      </c>
      <c r="T32" s="444" t="str">
        <f>SUMMARY!CZ33</f>
        <v>Very small and shallow with a very low WEANE Factor and low sinuosity, even though the salinity dilution ratio is high. Intermediate hydrodynamics categorization is recommended over complex, but check salinity to see if there is any structure that warrants complex hydrodynamics categorization when modeling.</v>
      </c>
      <c r="V32" s="444" t="str">
        <f>SUMMARY!DA33</f>
        <v>-</v>
      </c>
    </row>
    <row r="33" spans="1:22" ht="48" x14ac:dyDescent="0.35">
      <c r="A33" s="196" t="str">
        <f>SUMMARY!$B$34</f>
        <v>Threemile River</v>
      </c>
      <c r="B33" s="210">
        <f>SUMMARY!$C$34</f>
        <v>27</v>
      </c>
      <c r="C33" s="417" t="str">
        <f>SUMMARY!CJ34</f>
        <v>complex hydrodynamics</v>
      </c>
      <c r="D33" s="422">
        <f>SUMMARY!CK34</f>
        <v>3</v>
      </c>
      <c r="E33" s="417" t="str">
        <f>SUMMARY!CL34</f>
        <v>intermediate complexity water quality</v>
      </c>
      <c r="F33" s="422">
        <f>SUMMARY!CM34</f>
        <v>2</v>
      </c>
      <c r="G33" s="422" t="str">
        <f>SUMMARY!CW34</f>
        <v>intermediate complexity hydrodynamics</v>
      </c>
      <c r="H33" s="422" t="str">
        <f>SUMMARY!CY34</f>
        <v>intermediate complexity water quality</v>
      </c>
      <c r="K33" s="441" t="str">
        <f>SUMMARY!$B$34</f>
        <v>Threemile River</v>
      </c>
      <c r="L33" s="436">
        <f>SUMMARY!$C$34</f>
        <v>27</v>
      </c>
      <c r="M33" s="432" t="str">
        <f t="shared" si="0"/>
        <v/>
      </c>
      <c r="N33" s="430" t="str">
        <f t="shared" si="1"/>
        <v>X</v>
      </c>
      <c r="O33" s="436" t="str">
        <f t="shared" si="2"/>
        <v>&lt;</v>
      </c>
      <c r="P33" s="435" t="str">
        <f t="shared" si="3"/>
        <v/>
      </c>
      <c r="Q33" s="430" t="str">
        <f t="shared" si="4"/>
        <v>X</v>
      </c>
      <c r="R33" s="436" t="str">
        <f t="shared" si="6"/>
        <v/>
      </c>
      <c r="S33" s="446" t="str">
        <f t="shared" si="5"/>
        <v/>
      </c>
      <c r="T33" s="444" t="str">
        <f>SUMMARY!CZ34</f>
        <v>Tiny and shallow, but with a high salinity dilution ratio and a moderate sinuosity. The WEANE Factor is on the lower end of the intermediate category. Based on depth and size, intermediate hydrodynamics categorization is recommended over complex.</v>
      </c>
      <c r="V33" s="444" t="str">
        <f>SUMMARY!DA34</f>
        <v>-</v>
      </c>
    </row>
    <row r="34" spans="1:22" x14ac:dyDescent="0.35">
      <c r="A34" s="196" t="str">
        <f>SUMMARY!$B$35</f>
        <v>Black Hall River</v>
      </c>
      <c r="B34" s="210">
        <f>SUMMARY!$C$35</f>
        <v>28</v>
      </c>
      <c r="C34" s="417" t="str">
        <f>SUMMARY!CJ35</f>
        <v>intermediate complexity hydrodynamics</v>
      </c>
      <c r="D34" s="422">
        <f>SUMMARY!CK35</f>
        <v>2</v>
      </c>
      <c r="E34" s="417" t="str">
        <f>SUMMARY!CL35</f>
        <v>intermediate complexity water quality</v>
      </c>
      <c r="F34" s="422">
        <f>SUMMARY!CM35</f>
        <v>2</v>
      </c>
      <c r="G34" s="422" t="str">
        <f>SUMMARY!CW35</f>
        <v>intermediate complexity hydrodynamics</v>
      </c>
      <c r="H34" s="422" t="str">
        <f>SUMMARY!CY35</f>
        <v>intermediate complexity water quality</v>
      </c>
      <c r="K34" s="441" t="str">
        <f>SUMMARY!$B$35</f>
        <v>Black Hall River</v>
      </c>
      <c r="L34" s="436">
        <f>SUMMARY!$C$35</f>
        <v>28</v>
      </c>
      <c r="M34" s="432" t="str">
        <f t="shared" si="0"/>
        <v/>
      </c>
      <c r="N34" s="430" t="str">
        <f t="shared" si="1"/>
        <v>X</v>
      </c>
      <c r="O34" s="436" t="str">
        <f t="shared" si="2"/>
        <v/>
      </c>
      <c r="P34" s="435" t="str">
        <f t="shared" si="3"/>
        <v/>
      </c>
      <c r="Q34" s="430" t="str">
        <f t="shared" si="4"/>
        <v>X</v>
      </c>
      <c r="R34" s="436" t="str">
        <f t="shared" si="6"/>
        <v/>
      </c>
      <c r="S34" s="446" t="str">
        <f t="shared" si="5"/>
        <v/>
      </c>
      <c r="T34" s="444" t="str">
        <f>SUMMARY!CZ35</f>
        <v>N/A</v>
      </c>
      <c r="V34" s="444" t="str">
        <f>SUMMARY!DA35</f>
        <v>-</v>
      </c>
    </row>
    <row r="35" spans="1:22" ht="84" x14ac:dyDescent="0.35">
      <c r="A35" s="196" t="str">
        <f>SUMMARY!$B$37</f>
        <v>South Cove</v>
      </c>
      <c r="B35" s="210">
        <f>SUMMARY!$C$37</f>
        <v>30</v>
      </c>
      <c r="C35" s="417" t="str">
        <f>SUMMARY!CJ37</f>
        <v>simple complexity hydrodynamics</v>
      </c>
      <c r="D35" s="422">
        <f>SUMMARY!CK37</f>
        <v>1</v>
      </c>
      <c r="E35" s="417" t="str">
        <f>SUMMARY!CL37</f>
        <v>complex water quality</v>
      </c>
      <c r="F35" s="422">
        <f>SUMMARY!CM37</f>
        <v>4</v>
      </c>
      <c r="G35" s="422" t="str">
        <f>SUMMARY!CW37</f>
        <v>intermediate complexity hydrodynamics</v>
      </c>
      <c r="H35" s="422" t="str">
        <f>SUMMARY!CY37</f>
        <v>intermediate complexity water quality</v>
      </c>
      <c r="K35" s="441" t="str">
        <f>SUMMARY!$B$37</f>
        <v>South Cove</v>
      </c>
      <c r="L35" s="436">
        <f>SUMMARY!$C$37</f>
        <v>30</v>
      </c>
      <c r="M35" s="432" t="str">
        <f t="shared" si="0"/>
        <v>&gt;</v>
      </c>
      <c r="N35" s="430" t="str">
        <f t="shared" si="1"/>
        <v>X</v>
      </c>
      <c r="O35" s="436" t="str">
        <f t="shared" si="2"/>
        <v/>
      </c>
      <c r="P35" s="435" t="str">
        <f t="shared" si="3"/>
        <v/>
      </c>
      <c r="Q35" s="430" t="str">
        <f t="shared" si="4"/>
        <v>X</v>
      </c>
      <c r="R35" s="436" t="str">
        <f t="shared" si="6"/>
        <v>&lt;</v>
      </c>
      <c r="S35" s="446" t="str">
        <f t="shared" si="5"/>
        <v/>
      </c>
      <c r="T35" s="444" t="str">
        <f>SUMMARY!CZ37</f>
        <v>Shallow with a low salinity dilution ratio, but the embayment is mid-size and the WEANE Factor is very high. An intermediate complexity hydrodynamics categorization is likely necessary to accurately represent the nutrient gradients, rather than simple. Given the low salinity dilution ratio and shallow depth, intermediate complexity water quality categorization is recommended over complex.</v>
      </c>
      <c r="V35" s="444" t="str">
        <f>SUMMARY!DA37</f>
        <v>-</v>
      </c>
    </row>
    <row r="36" spans="1:22" ht="60" x14ac:dyDescent="0.35">
      <c r="A36" s="196" t="str">
        <f>SUMMARY!$B$38</f>
        <v>Indiantown Harbor</v>
      </c>
      <c r="B36" s="210">
        <f>SUMMARY!$C$38</f>
        <v>31</v>
      </c>
      <c r="C36" s="417" t="str">
        <f>SUMMARY!CJ38</f>
        <v>intermediate complexity hydrodynamics</v>
      </c>
      <c r="D36" s="422">
        <f>SUMMARY!CK38</f>
        <v>2</v>
      </c>
      <c r="E36" s="417" t="str">
        <f>SUMMARY!CL38</f>
        <v>complex water quality</v>
      </c>
      <c r="F36" s="422">
        <f>SUMMARY!CM38</f>
        <v>4</v>
      </c>
      <c r="G36" s="422" t="str">
        <f>SUMMARY!CW38</f>
        <v>intermediate complexity hydrodynamics</v>
      </c>
      <c r="H36" s="422" t="str">
        <f>SUMMARY!CY38</f>
        <v>intermediate complexity water quality</v>
      </c>
      <c r="K36" s="441" t="str">
        <f>SUMMARY!$B$38</f>
        <v>Indiantown Harbor</v>
      </c>
      <c r="L36" s="436">
        <f>SUMMARY!$C$38</f>
        <v>31</v>
      </c>
      <c r="M36" s="432" t="str">
        <f t="shared" si="0"/>
        <v/>
      </c>
      <c r="N36" s="430" t="str">
        <f t="shared" si="1"/>
        <v>X</v>
      </c>
      <c r="O36" s="436" t="str">
        <f t="shared" si="2"/>
        <v/>
      </c>
      <c r="P36" s="435" t="str">
        <f t="shared" si="3"/>
        <v/>
      </c>
      <c r="Q36" s="430" t="str">
        <f t="shared" si="4"/>
        <v>X</v>
      </c>
      <c r="R36" s="436" t="str">
        <f t="shared" si="6"/>
        <v>&lt;</v>
      </c>
      <c r="S36" s="446" t="str">
        <f t="shared" si="5"/>
        <v/>
      </c>
      <c r="T36" s="444" t="str">
        <f>SUMMARY!CZ38</f>
        <v>Shallow, very small, and no tidal restrictions to flow; but with high sinuosity. The salinity dilution ratio is intermediate and the WEANE Factor is at the very low end of the complex range. Given the depth, intermediate complexity water quality categorization is recommended over complex.</v>
      </c>
      <c r="V36" s="444" t="str">
        <f>SUMMARY!DA38</f>
        <v>-</v>
      </c>
    </row>
    <row r="37" spans="1:22" ht="48" x14ac:dyDescent="0.35">
      <c r="A37" s="196" t="str">
        <f>SUMMARY!$B$39</f>
        <v>Oyster River, Old Saybrook</v>
      </c>
      <c r="B37" s="210">
        <f>SUMMARY!$C$39</f>
        <v>32</v>
      </c>
      <c r="C37" s="417" t="str">
        <f>SUMMARY!CJ39</f>
        <v>complex hydrodynamics</v>
      </c>
      <c r="D37" s="422">
        <f>SUMMARY!CK39</f>
        <v>3</v>
      </c>
      <c r="E37" s="417" t="str">
        <f>SUMMARY!CL39</f>
        <v>intermediate complexity water quality</v>
      </c>
      <c r="F37" s="422">
        <f>SUMMARY!CM39</f>
        <v>2</v>
      </c>
      <c r="G37" s="422" t="str">
        <f>SUMMARY!CW39</f>
        <v>intermediate complexity hydrodynamics</v>
      </c>
      <c r="H37" s="422" t="str">
        <f>SUMMARY!CY39</f>
        <v>intermediate complexity water quality</v>
      </c>
      <c r="K37" s="441" t="str">
        <f>SUMMARY!$B$39</f>
        <v>Oyster River, Old Saybrook</v>
      </c>
      <c r="L37" s="436">
        <f>SUMMARY!$C$39</f>
        <v>32</v>
      </c>
      <c r="M37" s="432" t="str">
        <f t="shared" si="0"/>
        <v/>
      </c>
      <c r="N37" s="430" t="str">
        <f t="shared" si="1"/>
        <v>X</v>
      </c>
      <c r="O37" s="436" t="str">
        <f t="shared" si="2"/>
        <v>&lt;</v>
      </c>
      <c r="P37" s="435" t="str">
        <f t="shared" si="3"/>
        <v/>
      </c>
      <c r="Q37" s="430" t="str">
        <f t="shared" si="4"/>
        <v>X</v>
      </c>
      <c r="R37" s="436" t="str">
        <f t="shared" si="6"/>
        <v/>
      </c>
      <c r="S37" s="446" t="str">
        <f t="shared" si="5"/>
        <v/>
      </c>
      <c r="T37" s="444" t="str">
        <f>SUMMARY!CZ39</f>
        <v>Very small and shallow, but with a high salinity dilution ratio and a very high sinuosity. The WEANE Factor is intermediate. Based on depth and size, intermediate hydrodynamics categorization is recommended over complex.</v>
      </c>
      <c r="V37" s="444" t="str">
        <f>SUMMARY!DA39</f>
        <v>-</v>
      </c>
    </row>
    <row r="38" spans="1:22" ht="48" x14ac:dyDescent="0.35">
      <c r="A38" s="196" t="str">
        <f>SUMMARY!$B$40</f>
        <v>Hagar Creek</v>
      </c>
      <c r="B38" s="210">
        <f>SUMMARY!$C$40</f>
        <v>33</v>
      </c>
      <c r="C38" s="417" t="str">
        <f>SUMMARY!CJ40</f>
        <v>complex hydrodynamics</v>
      </c>
      <c r="D38" s="422">
        <f>SUMMARY!CK40</f>
        <v>3</v>
      </c>
      <c r="E38" s="417" t="str">
        <f>SUMMARY!CL40</f>
        <v>intermediate or complex water quality</v>
      </c>
      <c r="F38" s="422">
        <f>SUMMARY!CM40</f>
        <v>3</v>
      </c>
      <c r="G38" s="422" t="str">
        <f>SUMMARY!CW40</f>
        <v>intermediate complexity hydrodynamics</v>
      </c>
      <c r="H38" s="422" t="str">
        <f>SUMMARY!CY40</f>
        <v>intermediate complexity water quality</v>
      </c>
      <c r="K38" s="441" t="str">
        <f>SUMMARY!$B$40</f>
        <v>Hagar Creek</v>
      </c>
      <c r="L38" s="436">
        <f>SUMMARY!$C$40</f>
        <v>33</v>
      </c>
      <c r="M38" s="432" t="str">
        <f t="shared" si="0"/>
        <v/>
      </c>
      <c r="N38" s="430" t="str">
        <f t="shared" si="1"/>
        <v>X</v>
      </c>
      <c r="O38" s="436" t="str">
        <f t="shared" si="2"/>
        <v>&lt;</v>
      </c>
      <c r="P38" s="435" t="str">
        <f t="shared" si="3"/>
        <v/>
      </c>
      <c r="Q38" s="430" t="str">
        <f t="shared" si="4"/>
        <v>X</v>
      </c>
      <c r="R38" s="436" t="str">
        <f t="shared" si="6"/>
        <v/>
      </c>
      <c r="S38" s="446" t="str">
        <f t="shared" si="5"/>
        <v/>
      </c>
      <c r="T38" s="444" t="str">
        <f>SUMMARY!CZ40</f>
        <v>Tiny and shallow with a high salinity dilution ratio but a low sinuosity. The WEANE Factor is in the intermediate/complex range. Based on size and depth, intermediate hydrodynamics categorization is recommended over complex hydrodynamics.</v>
      </c>
      <c r="V38" s="444" t="str">
        <f>SUMMARY!DA40</f>
        <v>-</v>
      </c>
    </row>
    <row r="39" spans="1:22" ht="48" x14ac:dyDescent="0.35">
      <c r="A39" s="196" t="str">
        <f>SUMMARY!$B$41</f>
        <v>Patchogue River</v>
      </c>
      <c r="B39" s="210">
        <f>SUMMARY!$C$41</f>
        <v>34</v>
      </c>
      <c r="C39" s="417" t="str">
        <f>SUMMARY!CJ41</f>
        <v>complex hydrodynamics</v>
      </c>
      <c r="D39" s="422">
        <f>SUMMARY!CK41</f>
        <v>3</v>
      </c>
      <c r="E39" s="417" t="str">
        <f>SUMMARY!CL41</f>
        <v>intermediate complexity water quality</v>
      </c>
      <c r="F39" s="422">
        <f>SUMMARY!CM41</f>
        <v>2</v>
      </c>
      <c r="G39" s="422" t="str">
        <f>SUMMARY!CW41</f>
        <v>intermediate complexity hydrodynamics</v>
      </c>
      <c r="H39" s="422" t="str">
        <f>SUMMARY!CY41</f>
        <v>intermediate complexity water quality</v>
      </c>
      <c r="K39" s="441" t="str">
        <f>SUMMARY!$B$41</f>
        <v>Patchogue River</v>
      </c>
      <c r="L39" s="436">
        <f>SUMMARY!$C$41</f>
        <v>34</v>
      </c>
      <c r="M39" s="432" t="str">
        <f t="shared" si="0"/>
        <v/>
      </c>
      <c r="N39" s="430" t="str">
        <f t="shared" si="1"/>
        <v>X</v>
      </c>
      <c r="O39" s="436" t="str">
        <f t="shared" si="2"/>
        <v>&lt;</v>
      </c>
      <c r="P39" s="435" t="str">
        <f t="shared" si="3"/>
        <v/>
      </c>
      <c r="Q39" s="430" t="str">
        <f t="shared" si="4"/>
        <v>X</v>
      </c>
      <c r="R39" s="436" t="str">
        <f t="shared" si="6"/>
        <v/>
      </c>
      <c r="S39" s="446" t="str">
        <f t="shared" si="5"/>
        <v/>
      </c>
      <c r="T39" s="444" t="str">
        <f>SUMMARY!CZ41</f>
        <v>Very small and shallow, but with a high salinity dilution ratio and a very high sinuosity. The WEANE Factor is intermediate. Based on depth and size, intermediate hydrodynamics categorization is recommended over complex.</v>
      </c>
      <c r="V39" s="444" t="str">
        <f>SUMMARY!DA41</f>
        <v>-</v>
      </c>
    </row>
    <row r="40" spans="1:22" ht="48" x14ac:dyDescent="0.35">
      <c r="A40" s="196" t="str">
        <f>SUMMARY!$B$42</f>
        <v>Menunkesucket River</v>
      </c>
      <c r="B40" s="210">
        <f>SUMMARY!$C$42</f>
        <v>35</v>
      </c>
      <c r="C40" s="417" t="str">
        <f>SUMMARY!CJ42</f>
        <v>complex hydrodynamics</v>
      </c>
      <c r="D40" s="422">
        <f>SUMMARY!CK42</f>
        <v>3</v>
      </c>
      <c r="E40" s="417" t="str">
        <f>SUMMARY!CL42</f>
        <v>intermediate complexity water quality</v>
      </c>
      <c r="F40" s="422">
        <f>SUMMARY!CM42</f>
        <v>2</v>
      </c>
      <c r="G40" s="422" t="str">
        <f>SUMMARY!CW42</f>
        <v>intermediate complexity hydrodynamics</v>
      </c>
      <c r="H40" s="422" t="str">
        <f>SUMMARY!CY42</f>
        <v>intermediate complexity water quality</v>
      </c>
      <c r="K40" s="441" t="str">
        <f>SUMMARY!$B$42</f>
        <v>Menunkesucket River</v>
      </c>
      <c r="L40" s="436">
        <f>SUMMARY!$C$42</f>
        <v>35</v>
      </c>
      <c r="M40" s="432" t="str">
        <f t="shared" si="0"/>
        <v/>
      </c>
      <c r="N40" s="430" t="str">
        <f t="shared" si="1"/>
        <v>X</v>
      </c>
      <c r="O40" s="436" t="str">
        <f t="shared" si="2"/>
        <v>&lt;</v>
      </c>
      <c r="P40" s="435" t="str">
        <f t="shared" si="3"/>
        <v/>
      </c>
      <c r="Q40" s="430" t="str">
        <f t="shared" si="4"/>
        <v>X</v>
      </c>
      <c r="R40" s="436" t="str">
        <f t="shared" si="6"/>
        <v/>
      </c>
      <c r="S40" s="446" t="str">
        <f t="shared" si="5"/>
        <v/>
      </c>
      <c r="T40" s="444" t="str">
        <f>SUMMARY!CZ42</f>
        <v>Small and shallow, but with a high salinity dilution ratio and a very high sinuosity. The WEANE Factor is on the lower end of intermediate. Based on depth and WEANE Factor, intermediate hydrodynamics categorization is recommended over complex.</v>
      </c>
      <c r="V40" s="444" t="str">
        <f>SUMMARY!DA42</f>
        <v>-</v>
      </c>
    </row>
    <row r="41" spans="1:22" x14ac:dyDescent="0.35">
      <c r="A41" s="196" t="str">
        <f>SUMMARY!$B$43</f>
        <v>Clinton Harbor</v>
      </c>
      <c r="B41" s="210">
        <f>SUMMARY!$C$43</f>
        <v>36</v>
      </c>
      <c r="C41" s="417" t="str">
        <f>SUMMARY!CJ43</f>
        <v>intermediate complexity hydrodynamics</v>
      </c>
      <c r="D41" s="422">
        <f>SUMMARY!CK43</f>
        <v>2</v>
      </c>
      <c r="E41" s="417" t="str">
        <f>SUMMARY!CL43</f>
        <v>intermediate complexity water quality</v>
      </c>
      <c r="F41" s="422">
        <f>SUMMARY!CM43</f>
        <v>2</v>
      </c>
      <c r="G41" s="422" t="str">
        <f>SUMMARY!CW43</f>
        <v>intermediate complexity hydrodynamics</v>
      </c>
      <c r="H41" s="422" t="str">
        <f>SUMMARY!CY43</f>
        <v>intermediate complexity water quality</v>
      </c>
      <c r="K41" s="441" t="str">
        <f>SUMMARY!$B$43</f>
        <v>Clinton Harbor</v>
      </c>
      <c r="L41" s="436">
        <f>SUMMARY!$C$43</f>
        <v>36</v>
      </c>
      <c r="M41" s="432" t="str">
        <f t="shared" si="0"/>
        <v/>
      </c>
      <c r="N41" s="430" t="str">
        <f t="shared" si="1"/>
        <v>X</v>
      </c>
      <c r="O41" s="436" t="str">
        <f t="shared" si="2"/>
        <v/>
      </c>
      <c r="P41" s="435" t="str">
        <f t="shared" si="3"/>
        <v/>
      </c>
      <c r="Q41" s="430" t="str">
        <f t="shared" si="4"/>
        <v>X</v>
      </c>
      <c r="R41" s="436" t="str">
        <f t="shared" si="6"/>
        <v/>
      </c>
      <c r="S41" s="446" t="str">
        <f t="shared" si="5"/>
        <v/>
      </c>
      <c r="T41" s="444" t="str">
        <f>SUMMARY!CZ43</f>
        <v>N/A</v>
      </c>
      <c r="V41" s="444" t="str">
        <f>SUMMARY!DA43</f>
        <v>-</v>
      </c>
    </row>
    <row r="42" spans="1:22" ht="48" x14ac:dyDescent="0.35">
      <c r="A42" s="196" t="str">
        <f>SUMMARY!$B$44</f>
        <v>Toms Creek</v>
      </c>
      <c r="B42" s="210">
        <f>SUMMARY!$C$44</f>
        <v>37</v>
      </c>
      <c r="C42" s="417" t="str">
        <f>SUMMARY!CJ44</f>
        <v>complex hydrodynamics</v>
      </c>
      <c r="D42" s="422">
        <f>SUMMARY!CK44</f>
        <v>3</v>
      </c>
      <c r="E42" s="417" t="str">
        <f>SUMMARY!CL44</f>
        <v>intermediate or complex water quality</v>
      </c>
      <c r="F42" s="422">
        <f>SUMMARY!CM44</f>
        <v>3</v>
      </c>
      <c r="G42" s="422" t="str">
        <f>SUMMARY!CW44</f>
        <v>intermediate complexity hydrodynamics</v>
      </c>
      <c r="H42" s="422" t="str">
        <f>SUMMARY!CY44</f>
        <v>intermediate complexity water quality</v>
      </c>
      <c r="K42" s="441" t="str">
        <f>SUMMARY!$B$44</f>
        <v>Toms Creek</v>
      </c>
      <c r="L42" s="436">
        <f>SUMMARY!$C$44</f>
        <v>37</v>
      </c>
      <c r="M42" s="432" t="str">
        <f t="shared" si="0"/>
        <v/>
      </c>
      <c r="N42" s="430" t="str">
        <f t="shared" si="1"/>
        <v>X</v>
      </c>
      <c r="O42" s="436" t="str">
        <f t="shared" si="2"/>
        <v>&lt;</v>
      </c>
      <c r="P42" s="435" t="str">
        <f t="shared" si="3"/>
        <v/>
      </c>
      <c r="Q42" s="430" t="str">
        <f t="shared" si="4"/>
        <v>X</v>
      </c>
      <c r="R42" s="436" t="str">
        <f t="shared" si="6"/>
        <v/>
      </c>
      <c r="S42" s="446" t="str">
        <f t="shared" si="5"/>
        <v/>
      </c>
      <c r="T42" s="444" t="str">
        <f>SUMMARY!CZ44</f>
        <v>Tiny and shallow with a high salinity dilution ratio but a low sinuosity. The WEANE Factor is intermediate/complex. Based on depth and size, intermediate hydrodynamics categorization is recommended over complex.</v>
      </c>
      <c r="V42" s="444" t="str">
        <f>SUMMARY!DA44</f>
        <v>-</v>
      </c>
    </row>
    <row r="43" spans="1:22" ht="48" x14ac:dyDescent="0.35">
      <c r="A43" s="196" t="str">
        <f>SUMMARY!$B$45</f>
        <v>Fence Creek</v>
      </c>
      <c r="B43" s="210">
        <f>SUMMARY!$C$45</f>
        <v>38</v>
      </c>
      <c r="C43" s="417" t="str">
        <f>SUMMARY!CJ45</f>
        <v>complex hydrodynamics</v>
      </c>
      <c r="D43" s="422">
        <f>SUMMARY!CK45</f>
        <v>3</v>
      </c>
      <c r="E43" s="417" t="str">
        <f>SUMMARY!CL45</f>
        <v>intermediate or complex water quality</v>
      </c>
      <c r="F43" s="422">
        <f>SUMMARY!CM45</f>
        <v>3</v>
      </c>
      <c r="G43" s="422" t="str">
        <f>SUMMARY!CW45</f>
        <v>intermediate complexity hydrodynamics</v>
      </c>
      <c r="H43" s="422" t="str">
        <f>SUMMARY!CY45</f>
        <v>intermediate complexity water quality</v>
      </c>
      <c r="K43" s="441" t="str">
        <f>SUMMARY!$B$45</f>
        <v>Fence Creek</v>
      </c>
      <c r="L43" s="436">
        <f>SUMMARY!$C$45</f>
        <v>38</v>
      </c>
      <c r="M43" s="432" t="str">
        <f t="shared" si="0"/>
        <v/>
      </c>
      <c r="N43" s="430" t="str">
        <f t="shared" si="1"/>
        <v>X</v>
      </c>
      <c r="O43" s="436" t="str">
        <f t="shared" si="2"/>
        <v>&lt;</v>
      </c>
      <c r="P43" s="435" t="str">
        <f t="shared" si="3"/>
        <v/>
      </c>
      <c r="Q43" s="430" t="str">
        <f t="shared" si="4"/>
        <v>X</v>
      </c>
      <c r="R43" s="436" t="str">
        <f t="shared" si="6"/>
        <v/>
      </c>
      <c r="S43" s="446" t="str">
        <f t="shared" si="5"/>
        <v/>
      </c>
      <c r="T43" s="444" t="str">
        <f>SUMMARY!CZ45</f>
        <v>Tiny and shallow with a high salinity dilution ratio but a low sinuosity. The WEANE Factor is intermediate/complex. Based on depth and size, intermediate hydrodynamics categorization is recommended over complex.</v>
      </c>
      <c r="V43" s="444" t="str">
        <f>SUMMARY!DA45</f>
        <v>-</v>
      </c>
    </row>
    <row r="44" spans="1:22" x14ac:dyDescent="0.35">
      <c r="A44" s="196" t="str">
        <f>SUMMARY!$B$46</f>
        <v>Guilford Harbor</v>
      </c>
      <c r="B44" s="210">
        <f>SUMMARY!$C$46</f>
        <v>39</v>
      </c>
      <c r="C44" s="417" t="str">
        <f>SUMMARY!CJ46</f>
        <v>intermediate complexity hydrodynamics</v>
      </c>
      <c r="D44" s="422">
        <f>SUMMARY!CK46</f>
        <v>2</v>
      </c>
      <c r="E44" s="417" t="str">
        <f>SUMMARY!CL46</f>
        <v>intermediate complexity water quality</v>
      </c>
      <c r="F44" s="422">
        <f>SUMMARY!CM46</f>
        <v>2</v>
      </c>
      <c r="G44" s="422" t="str">
        <f>SUMMARY!CW46</f>
        <v>intermediate complexity hydrodynamics</v>
      </c>
      <c r="H44" s="422" t="str">
        <f>SUMMARY!CY46</f>
        <v>intermediate complexity water quality</v>
      </c>
      <c r="K44" s="441" t="str">
        <f>SUMMARY!$B$46</f>
        <v>Guilford Harbor</v>
      </c>
      <c r="L44" s="436">
        <f>SUMMARY!$C$46</f>
        <v>39</v>
      </c>
      <c r="M44" s="432" t="str">
        <f t="shared" si="0"/>
        <v/>
      </c>
      <c r="N44" s="430" t="str">
        <f t="shared" si="1"/>
        <v>X</v>
      </c>
      <c r="O44" s="436" t="str">
        <f t="shared" si="2"/>
        <v/>
      </c>
      <c r="P44" s="435" t="str">
        <f t="shared" si="3"/>
        <v/>
      </c>
      <c r="Q44" s="430" t="str">
        <f t="shared" si="4"/>
        <v>X</v>
      </c>
      <c r="R44" s="436" t="str">
        <f t="shared" si="6"/>
        <v/>
      </c>
      <c r="S44" s="446" t="str">
        <f t="shared" si="5"/>
        <v/>
      </c>
      <c r="T44" s="444" t="str">
        <f>SUMMARY!CZ46</f>
        <v>N/A</v>
      </c>
      <c r="V44" s="444" t="str">
        <f>SUMMARY!DA46</f>
        <v>-</v>
      </c>
    </row>
    <row r="45" spans="1:22" x14ac:dyDescent="0.35">
      <c r="A45" s="196" t="str">
        <f>SUMMARY!$B$47</f>
        <v>Indian Cove</v>
      </c>
      <c r="B45" s="210">
        <f>SUMMARY!$C$47</f>
        <v>40</v>
      </c>
      <c r="C45" s="417" t="str">
        <f>SUMMARY!CJ47</f>
        <v>intermediate complexity hydrodynamics</v>
      </c>
      <c r="D45" s="422">
        <f>SUMMARY!CK47</f>
        <v>2</v>
      </c>
      <c r="E45" s="417" t="str">
        <f>SUMMARY!CL47</f>
        <v>intermediate or complex water quality</v>
      </c>
      <c r="F45" s="422">
        <f>SUMMARY!CM47</f>
        <v>3</v>
      </c>
      <c r="G45" s="422" t="str">
        <f>SUMMARY!CW47</f>
        <v>intermediate complexity hydrodynamics</v>
      </c>
      <c r="H45" s="422" t="str">
        <f>SUMMARY!CY47</f>
        <v>intermediate complexity water quality</v>
      </c>
      <c r="K45" s="441" t="str">
        <f>SUMMARY!$B$47</f>
        <v>Indian Cove</v>
      </c>
      <c r="L45" s="436">
        <f>SUMMARY!$C$47</f>
        <v>40</v>
      </c>
      <c r="M45" s="432" t="str">
        <f t="shared" si="0"/>
        <v/>
      </c>
      <c r="N45" s="430" t="str">
        <f t="shared" si="1"/>
        <v>X</v>
      </c>
      <c r="O45" s="436" t="str">
        <f t="shared" si="2"/>
        <v/>
      </c>
      <c r="P45" s="435" t="str">
        <f t="shared" si="3"/>
        <v/>
      </c>
      <c r="Q45" s="430" t="str">
        <f t="shared" si="4"/>
        <v>X</v>
      </c>
      <c r="R45" s="436" t="str">
        <f t="shared" si="6"/>
        <v/>
      </c>
      <c r="S45" s="446" t="str">
        <f t="shared" si="5"/>
        <v/>
      </c>
      <c r="T45" s="444" t="str">
        <f>SUMMARY!CZ47</f>
        <v>N/A</v>
      </c>
      <c r="V45" s="444" t="str">
        <f>SUMMARY!DA47</f>
        <v>-</v>
      </c>
    </row>
    <row r="46" spans="1:22" ht="72" x14ac:dyDescent="0.35">
      <c r="A46" s="196" t="str">
        <f>SUMMARY!$B$48</f>
        <v>Sachem Head Harbor</v>
      </c>
      <c r="B46" s="210">
        <f>SUMMARY!$C$48</f>
        <v>41</v>
      </c>
      <c r="C46" s="417" t="str">
        <f>SUMMARY!CJ48</f>
        <v>simple complexity hydrodynamics</v>
      </c>
      <c r="D46" s="422">
        <f>SUMMARY!CK48</f>
        <v>1</v>
      </c>
      <c r="E46" s="417" t="str">
        <f>SUMMARY!CL48</f>
        <v>complex water quality</v>
      </c>
      <c r="F46" s="422">
        <f>SUMMARY!CM48</f>
        <v>4</v>
      </c>
      <c r="G46" s="422" t="str">
        <f>SUMMARY!CW48</f>
        <v>intermediate complexity hydrodynamics</v>
      </c>
      <c r="H46" s="422" t="str">
        <f>SUMMARY!CY48</f>
        <v>intermediate complexity water quality</v>
      </c>
      <c r="K46" s="441" t="str">
        <f>SUMMARY!$B$48</f>
        <v>Sachem Head Harbor</v>
      </c>
      <c r="L46" s="436">
        <f>SUMMARY!$C$48</f>
        <v>41</v>
      </c>
      <c r="M46" s="432" t="str">
        <f t="shared" si="0"/>
        <v>&gt;</v>
      </c>
      <c r="N46" s="430" t="str">
        <f t="shared" si="1"/>
        <v>X</v>
      </c>
      <c r="O46" s="436" t="str">
        <f t="shared" si="2"/>
        <v/>
      </c>
      <c r="P46" s="435" t="str">
        <f t="shared" si="3"/>
        <v/>
      </c>
      <c r="Q46" s="430" t="str">
        <f t="shared" si="4"/>
        <v>X</v>
      </c>
      <c r="R46" s="436" t="str">
        <f t="shared" si="6"/>
        <v>&lt;</v>
      </c>
      <c r="S46" s="446" t="str">
        <f t="shared" si="5"/>
        <v/>
      </c>
      <c r="T46" s="444" t="str">
        <f>SUMMARY!CZ48</f>
        <v>While the size is very small and sinuosity is very low, depth is moderate and the WEANE Factor is high. Given the potential for nutrient gradients, an intermediate hydrodynamics categorization is recommended over simple. Given the low salinity dilution ratio and very small size, intermediate complexity water quality categorization is recommended over complex.</v>
      </c>
      <c r="V46" s="444" t="str">
        <f>SUMMARY!DA48</f>
        <v>-</v>
      </c>
    </row>
    <row r="47" spans="1:22" ht="60" x14ac:dyDescent="0.35">
      <c r="A47" s="196" t="str">
        <f>SUMMARY!$B$49</f>
        <v>Joshua Cove</v>
      </c>
      <c r="B47" s="210">
        <f>SUMMARY!$C$49</f>
        <v>42</v>
      </c>
      <c r="C47" s="417" t="str">
        <f>SUMMARY!CJ49</f>
        <v>simple complexity hydrodynamics</v>
      </c>
      <c r="D47" s="422">
        <f>SUMMARY!CK49</f>
        <v>1</v>
      </c>
      <c r="E47" s="417" t="str">
        <f>SUMMARY!CL49</f>
        <v>intermediate complexity water quality</v>
      </c>
      <c r="F47" s="422">
        <f>SUMMARY!CM49</f>
        <v>2</v>
      </c>
      <c r="G47" s="422" t="str">
        <f>SUMMARY!CW49</f>
        <v>intermediate complexity hydrodynamics</v>
      </c>
      <c r="H47" s="422" t="str">
        <f>SUMMARY!CY49</f>
        <v>intermediate complexity water quality</v>
      </c>
      <c r="K47" s="441" t="str">
        <f>SUMMARY!$B$49</f>
        <v>Joshua Cove</v>
      </c>
      <c r="L47" s="436">
        <f>SUMMARY!$C$49</f>
        <v>42</v>
      </c>
      <c r="M47" s="432" t="str">
        <f t="shared" si="0"/>
        <v>&gt;</v>
      </c>
      <c r="N47" s="430" t="str">
        <f t="shared" si="1"/>
        <v>X</v>
      </c>
      <c r="O47" s="436" t="str">
        <f t="shared" si="2"/>
        <v/>
      </c>
      <c r="P47" s="435" t="str">
        <f t="shared" si="3"/>
        <v/>
      </c>
      <c r="Q47" s="430" t="str">
        <f t="shared" si="4"/>
        <v>X</v>
      </c>
      <c r="R47" s="436" t="str">
        <f t="shared" si="6"/>
        <v/>
      </c>
      <c r="S47" s="446" t="str">
        <f t="shared" si="5"/>
        <v/>
      </c>
      <c r="T47" s="444" t="str">
        <f>SUMMARY!CZ49</f>
        <v>Mid-size and moderate depth with a low salinity dilution ratio and low sinuosity. The WEANE Factor is at the higher end of the intermediate range. Given the size and potential for nutrient gradients, an intermediate hydrodynamics categorization is recommended over simple hydrodynamics.</v>
      </c>
      <c r="V47" s="444" t="str">
        <f>SUMMARY!DA49</f>
        <v>-</v>
      </c>
    </row>
    <row r="48" spans="1:22" ht="60" x14ac:dyDescent="0.35">
      <c r="A48" s="196" t="str">
        <f>SUMMARY!$B$50</f>
        <v>Island Bay</v>
      </c>
      <c r="B48" s="210">
        <f>SUMMARY!$C$50</f>
        <v>43</v>
      </c>
      <c r="C48" s="417" t="str">
        <f>SUMMARY!CJ50</f>
        <v>simple complexity hydrodynamics</v>
      </c>
      <c r="D48" s="422">
        <f>SUMMARY!CK50</f>
        <v>1</v>
      </c>
      <c r="E48" s="417" t="str">
        <f>SUMMARY!CL50</f>
        <v>intermediate or complex water quality</v>
      </c>
      <c r="F48" s="422">
        <f>SUMMARY!CM50</f>
        <v>3</v>
      </c>
      <c r="G48" s="422" t="str">
        <f>SUMMARY!CW50</f>
        <v>intermediate complexity hydrodynamics</v>
      </c>
      <c r="H48" s="422" t="str">
        <f>SUMMARY!CY50</f>
        <v>intermediate complexity water quality</v>
      </c>
      <c r="K48" s="441" t="str">
        <f>SUMMARY!$B$50</f>
        <v>Island Bay</v>
      </c>
      <c r="L48" s="436">
        <f>SUMMARY!$C$50</f>
        <v>43</v>
      </c>
      <c r="M48" s="432" t="str">
        <f t="shared" si="0"/>
        <v>&gt;</v>
      </c>
      <c r="N48" s="430" t="str">
        <f t="shared" si="1"/>
        <v>X</v>
      </c>
      <c r="O48" s="436" t="str">
        <f t="shared" si="2"/>
        <v/>
      </c>
      <c r="P48" s="435" t="str">
        <f t="shared" si="3"/>
        <v/>
      </c>
      <c r="Q48" s="430" t="str">
        <f t="shared" si="4"/>
        <v>X</v>
      </c>
      <c r="R48" s="436" t="str">
        <f t="shared" si="6"/>
        <v/>
      </c>
      <c r="S48" s="446" t="str">
        <f t="shared" si="5"/>
        <v/>
      </c>
      <c r="T48" s="444" t="str">
        <f>SUMMARY!CZ50</f>
        <v>While the salinity dilution ratio is low and the depth is shallow, the size is small (not tiny or very small) and the WEANE Factor is in the intermediate/complex range. Nutrient gradients may exist in the absence of salinity gradients, thus intermediate hydrodynamics categorization is recommended over simple.</v>
      </c>
      <c r="V48" s="444" t="str">
        <f>SUMMARY!DA50</f>
        <v>-</v>
      </c>
    </row>
    <row r="49" spans="1:22" x14ac:dyDescent="0.35">
      <c r="A49" s="196" t="str">
        <f>SUMMARY!$B$51</f>
        <v>Little Harbor</v>
      </c>
      <c r="B49" s="210">
        <f>SUMMARY!$C$51</f>
        <v>44</v>
      </c>
      <c r="C49" s="417" t="str">
        <f>SUMMARY!CJ51</f>
        <v>simple complexity hydrodynamics</v>
      </c>
      <c r="D49" s="422">
        <f>SUMMARY!CK51</f>
        <v>1</v>
      </c>
      <c r="E49" s="417" t="str">
        <f>SUMMARY!CL51</f>
        <v>intermediate or complex water quality</v>
      </c>
      <c r="F49" s="422">
        <f>SUMMARY!CM51</f>
        <v>3</v>
      </c>
      <c r="G49" s="422" t="str">
        <f>SUMMARY!CW51</f>
        <v>simple complexity hydrodynamics</v>
      </c>
      <c r="H49" s="422" t="str">
        <f>SUMMARY!CY51</f>
        <v>intermediate complexity water quality</v>
      </c>
      <c r="K49" s="441" t="str">
        <f>SUMMARY!$B$51</f>
        <v>Little Harbor</v>
      </c>
      <c r="L49" s="436">
        <f>SUMMARY!$C$51</f>
        <v>44</v>
      </c>
      <c r="M49" s="432" t="str">
        <f t="shared" si="0"/>
        <v>X</v>
      </c>
      <c r="N49" s="430" t="str">
        <f t="shared" si="1"/>
        <v/>
      </c>
      <c r="O49" s="436" t="str">
        <f t="shared" si="2"/>
        <v/>
      </c>
      <c r="P49" s="435" t="str">
        <f t="shared" si="3"/>
        <v/>
      </c>
      <c r="Q49" s="430" t="str">
        <f t="shared" si="4"/>
        <v>X</v>
      </c>
      <c r="R49" s="436" t="str">
        <f t="shared" si="6"/>
        <v/>
      </c>
      <c r="S49" s="446" t="str">
        <f t="shared" si="5"/>
        <v/>
      </c>
      <c r="T49" s="444" t="str">
        <f>SUMMARY!CZ51</f>
        <v>N/A</v>
      </c>
      <c r="V49" s="444" t="str">
        <f>SUMMARY!DA51</f>
        <v>-</v>
      </c>
    </row>
    <row r="50" spans="1:22" x14ac:dyDescent="0.35">
      <c r="A50" s="196" t="str">
        <f>SUMMARY!$B$52</f>
        <v>Branford Harbor</v>
      </c>
      <c r="B50" s="210">
        <f>SUMMARY!$C$52</f>
        <v>45</v>
      </c>
      <c r="C50" s="417" t="str">
        <f>SUMMARY!CJ52</f>
        <v>intermediate complexity hydrodynamics</v>
      </c>
      <c r="D50" s="422">
        <f>SUMMARY!CK52</f>
        <v>2</v>
      </c>
      <c r="E50" s="417" t="str">
        <f>SUMMARY!CL52</f>
        <v>intermediate or complex water quality</v>
      </c>
      <c r="F50" s="422">
        <f>SUMMARY!CM52</f>
        <v>3</v>
      </c>
      <c r="G50" s="422" t="str">
        <f>SUMMARY!CW52</f>
        <v>intermediate complexity hydrodynamics</v>
      </c>
      <c r="H50" s="422" t="str">
        <f>SUMMARY!CY52</f>
        <v>intermediate complexity water quality</v>
      </c>
      <c r="K50" s="441" t="str">
        <f>SUMMARY!$B$52</f>
        <v>Branford Harbor</v>
      </c>
      <c r="L50" s="436">
        <f>SUMMARY!$C$52</f>
        <v>45</v>
      </c>
      <c r="M50" s="432" t="str">
        <f t="shared" si="0"/>
        <v/>
      </c>
      <c r="N50" s="430" t="str">
        <f t="shared" si="1"/>
        <v>X</v>
      </c>
      <c r="O50" s="436" t="str">
        <f t="shared" si="2"/>
        <v/>
      </c>
      <c r="P50" s="435" t="str">
        <f t="shared" si="3"/>
        <v/>
      </c>
      <c r="Q50" s="430" t="str">
        <f t="shared" si="4"/>
        <v>X</v>
      </c>
      <c r="R50" s="436" t="str">
        <f t="shared" si="6"/>
        <v/>
      </c>
      <c r="S50" s="446" t="str">
        <f t="shared" si="5"/>
        <v>*</v>
      </c>
      <c r="T50" s="444" t="str">
        <f>SUMMARY!CZ52</f>
        <v>N/A</v>
      </c>
      <c r="V50" s="444" t="str">
        <f>SUMMARY!DA52</f>
        <v>WASP</v>
      </c>
    </row>
    <row r="51" spans="1:22" x14ac:dyDescent="0.35">
      <c r="A51" s="196" t="str">
        <f>SUMMARY!$B$53</f>
        <v>Pages Cove</v>
      </c>
      <c r="B51" s="210">
        <f>SUMMARY!$C$53</f>
        <v>46</v>
      </c>
      <c r="C51" s="417" t="str">
        <f>SUMMARY!CJ53</f>
        <v>intermediate complexity hydrodynamics</v>
      </c>
      <c r="D51" s="422">
        <f>SUMMARY!CK53</f>
        <v>2</v>
      </c>
      <c r="E51" s="417" t="str">
        <f>SUMMARY!CL53</f>
        <v>intermediate or complex water quality</v>
      </c>
      <c r="F51" s="422">
        <f>SUMMARY!CM53</f>
        <v>3</v>
      </c>
      <c r="G51" s="422" t="str">
        <f>SUMMARY!CW53</f>
        <v>intermediate complexity hydrodynamics</v>
      </c>
      <c r="H51" s="422" t="str">
        <f>SUMMARY!CY53</f>
        <v>intermediate complexity water quality</v>
      </c>
      <c r="K51" s="441" t="str">
        <f>SUMMARY!$B$53</f>
        <v>Pages Cove</v>
      </c>
      <c r="L51" s="436">
        <f>SUMMARY!$C$53</f>
        <v>46</v>
      </c>
      <c r="M51" s="432" t="str">
        <f t="shared" si="0"/>
        <v/>
      </c>
      <c r="N51" s="430" t="str">
        <f t="shared" si="1"/>
        <v>X</v>
      </c>
      <c r="O51" s="436" t="str">
        <f t="shared" si="2"/>
        <v/>
      </c>
      <c r="P51" s="435" t="str">
        <f t="shared" si="3"/>
        <v/>
      </c>
      <c r="Q51" s="430" t="str">
        <f t="shared" si="4"/>
        <v>X</v>
      </c>
      <c r="R51" s="436" t="str">
        <f t="shared" si="6"/>
        <v/>
      </c>
      <c r="S51" s="446" t="str">
        <f t="shared" si="5"/>
        <v/>
      </c>
      <c r="T51" s="444" t="str">
        <f>SUMMARY!CZ53</f>
        <v>N/A</v>
      </c>
      <c r="V51" s="444" t="str">
        <f>SUMMARY!DA53</f>
        <v>-</v>
      </c>
    </row>
    <row r="52" spans="1:22" x14ac:dyDescent="0.35">
      <c r="A52" s="196" t="str">
        <f>SUMMARY!$B$54</f>
        <v>Farm River</v>
      </c>
      <c r="B52" s="210">
        <f>SUMMARY!$C$54</f>
        <v>47</v>
      </c>
      <c r="C52" s="417" t="str">
        <f>SUMMARY!CJ54</f>
        <v>complex hydrodynamics</v>
      </c>
      <c r="D52" s="422">
        <f>SUMMARY!CK54</f>
        <v>3</v>
      </c>
      <c r="E52" s="417" t="str">
        <f>SUMMARY!CL54</f>
        <v>intermediate complexity water quality</v>
      </c>
      <c r="F52" s="422">
        <f>SUMMARY!CM54</f>
        <v>2</v>
      </c>
      <c r="G52" s="422" t="str">
        <f>SUMMARY!CW54</f>
        <v>complex hydrodynamics</v>
      </c>
      <c r="H52" s="422" t="str">
        <f>SUMMARY!CY54</f>
        <v>intermediate complexity water quality</v>
      </c>
      <c r="K52" s="441" t="str">
        <f>SUMMARY!$B$54</f>
        <v>Farm River</v>
      </c>
      <c r="L52" s="436">
        <f>SUMMARY!$C$54</f>
        <v>47</v>
      </c>
      <c r="M52" s="432" t="str">
        <f t="shared" si="0"/>
        <v/>
      </c>
      <c r="N52" s="430" t="str">
        <f t="shared" si="1"/>
        <v/>
      </c>
      <c r="O52" s="436" t="str">
        <f t="shared" si="2"/>
        <v>X</v>
      </c>
      <c r="P52" s="435" t="str">
        <f t="shared" si="3"/>
        <v/>
      </c>
      <c r="Q52" s="430" t="str">
        <f t="shared" si="4"/>
        <v>X</v>
      </c>
      <c r="R52" s="436" t="str">
        <f t="shared" si="6"/>
        <v/>
      </c>
      <c r="S52" s="446" t="str">
        <f t="shared" si="5"/>
        <v/>
      </c>
      <c r="T52" s="444" t="str">
        <f>SUMMARY!CZ54</f>
        <v>N/A</v>
      </c>
      <c r="V52" s="444" t="str">
        <f>SUMMARY!DA54</f>
        <v>-</v>
      </c>
    </row>
    <row r="53" spans="1:22" ht="36" x14ac:dyDescent="0.35">
      <c r="A53" s="196" t="str">
        <f>SUMMARY!$B$55</f>
        <v>New Haven Harbor</v>
      </c>
      <c r="B53" s="210">
        <f>SUMMARY!$C$55</f>
        <v>48</v>
      </c>
      <c r="C53" s="417" t="str">
        <f>SUMMARY!CJ55</f>
        <v>intermediate complexity hydrodynamics</v>
      </c>
      <c r="D53" s="422">
        <f>SUMMARY!CK55</f>
        <v>2</v>
      </c>
      <c r="E53" s="417" t="str">
        <f>SUMMARY!CL55</f>
        <v>complex water quality</v>
      </c>
      <c r="F53" s="422">
        <f>SUMMARY!CM55</f>
        <v>4</v>
      </c>
      <c r="G53" s="422" t="str">
        <f>SUMMARY!CW55</f>
        <v>complex hydrodynamics</v>
      </c>
      <c r="H53" s="422" t="str">
        <f>SUMMARY!CY55</f>
        <v>complex water quality</v>
      </c>
      <c r="K53" s="441" t="str">
        <f>SUMMARY!$B$55</f>
        <v>New Haven Harbor</v>
      </c>
      <c r="L53" s="436">
        <f>SUMMARY!$C$55</f>
        <v>48</v>
      </c>
      <c r="M53" s="432" t="str">
        <f t="shared" si="0"/>
        <v/>
      </c>
      <c r="N53" s="430" t="str">
        <f t="shared" si="1"/>
        <v>&gt;</v>
      </c>
      <c r="O53" s="436" t="str">
        <f t="shared" si="2"/>
        <v>X</v>
      </c>
      <c r="P53" s="435" t="str">
        <f t="shared" si="3"/>
        <v/>
      </c>
      <c r="Q53" s="430" t="str">
        <f t="shared" si="4"/>
        <v/>
      </c>
      <c r="R53" s="436" t="str">
        <f t="shared" si="6"/>
        <v>X</v>
      </c>
      <c r="S53" s="446" t="str">
        <f t="shared" si="5"/>
        <v>*</v>
      </c>
      <c r="T53" s="444" t="str">
        <f>SUMMARY!CZ55</f>
        <v>Large and deep with a high WEANE Factor. Based on depth, complex hydrodynamics categorization is recommended over intermediate.</v>
      </c>
      <c r="V53" s="444" t="str">
        <f>SUMMARY!DA55</f>
        <v>WASP</v>
      </c>
    </row>
    <row r="54" spans="1:22" ht="48" x14ac:dyDescent="0.35">
      <c r="A54" s="196" t="str">
        <f>SUMMARY!$B$56</f>
        <v>Oyster River, Milford</v>
      </c>
      <c r="B54" s="210">
        <f>SUMMARY!$C$56</f>
        <v>49</v>
      </c>
      <c r="C54" s="417" t="str">
        <f>SUMMARY!CJ56</f>
        <v>complex hydrodynamics</v>
      </c>
      <c r="D54" s="422">
        <f>SUMMARY!CK56</f>
        <v>3</v>
      </c>
      <c r="E54" s="417" t="str">
        <f>SUMMARY!CL56</f>
        <v>intermediate or complex water quality</v>
      </c>
      <c r="F54" s="422">
        <f>SUMMARY!CM56</f>
        <v>3</v>
      </c>
      <c r="G54" s="422" t="str">
        <f>SUMMARY!CW56</f>
        <v>intermediate complexity hydrodynamics</v>
      </c>
      <c r="H54" s="422" t="str">
        <f>SUMMARY!CY56</f>
        <v>intermediate complexity water quality</v>
      </c>
      <c r="K54" s="441" t="str">
        <f>SUMMARY!$B$56</f>
        <v>Oyster River, Milford</v>
      </c>
      <c r="L54" s="436">
        <f>SUMMARY!$C$56</f>
        <v>49</v>
      </c>
      <c r="M54" s="432" t="str">
        <f t="shared" si="0"/>
        <v/>
      </c>
      <c r="N54" s="430" t="str">
        <f t="shared" si="1"/>
        <v>X</v>
      </c>
      <c r="O54" s="436" t="str">
        <f t="shared" si="2"/>
        <v>&lt;</v>
      </c>
      <c r="P54" s="435" t="str">
        <f t="shared" si="3"/>
        <v/>
      </c>
      <c r="Q54" s="430" t="str">
        <f t="shared" si="4"/>
        <v>X</v>
      </c>
      <c r="R54" s="436" t="str">
        <f t="shared" si="6"/>
        <v/>
      </c>
      <c r="S54" s="446" t="str">
        <f t="shared" si="5"/>
        <v/>
      </c>
      <c r="T54" s="444" t="str">
        <f>SUMMARY!CZ56</f>
        <v>Tiny and shallow with a high salinity dilution ratio and a very high sinuosity. The WEANE Factor is moderately high. Based on depth, intermediate hydrodynamics categorization is recommended over complex.</v>
      </c>
      <c r="V54" s="444" t="str">
        <f>SUMMARY!DA56</f>
        <v>-</v>
      </c>
    </row>
    <row r="55" spans="1:22" ht="48" x14ac:dyDescent="0.35">
      <c r="A55" s="196" t="str">
        <f>SUMMARY!$B$57</f>
        <v>Calf Pen Meadow Creek</v>
      </c>
      <c r="B55" s="210">
        <f>SUMMARY!$C$57</f>
        <v>50</v>
      </c>
      <c r="C55" s="417" t="str">
        <f>SUMMARY!CJ57</f>
        <v>complex hydrodynamics</v>
      </c>
      <c r="D55" s="422">
        <f>SUMMARY!CK57</f>
        <v>3</v>
      </c>
      <c r="E55" s="417" t="str">
        <f>SUMMARY!CL57</f>
        <v>intermediate or complex water quality</v>
      </c>
      <c r="F55" s="422">
        <f>SUMMARY!CM57</f>
        <v>3</v>
      </c>
      <c r="G55" s="422" t="str">
        <f>SUMMARY!CW57</f>
        <v>intermediate complexity hydrodynamics</v>
      </c>
      <c r="H55" s="422" t="str">
        <f>SUMMARY!CY57</f>
        <v>intermediate complexity water quality</v>
      </c>
      <c r="K55" s="441" t="str">
        <f>SUMMARY!$B$57</f>
        <v>Calf Pen Meadow Creek</v>
      </c>
      <c r="L55" s="436">
        <f>SUMMARY!$C$57</f>
        <v>50</v>
      </c>
      <c r="M55" s="432" t="str">
        <f t="shared" si="0"/>
        <v/>
      </c>
      <c r="N55" s="430" t="str">
        <f t="shared" si="1"/>
        <v>X</v>
      </c>
      <c r="O55" s="436" t="str">
        <f t="shared" si="2"/>
        <v>&lt;</v>
      </c>
      <c r="P55" s="435" t="str">
        <f t="shared" si="3"/>
        <v/>
      </c>
      <c r="Q55" s="430" t="str">
        <f t="shared" si="4"/>
        <v>X</v>
      </c>
      <c r="R55" s="436" t="str">
        <f t="shared" si="6"/>
        <v/>
      </c>
      <c r="S55" s="446" t="str">
        <f t="shared" si="5"/>
        <v/>
      </c>
      <c r="T55" s="444" t="str">
        <f>SUMMARY!CZ57</f>
        <v>Tiny and shallow with a high salinity dilution ratio and a very high sinuosity. The WEANE Factor is moderately high. Based on depth, intermediate hydrodynamics categorization is recommended over complex.</v>
      </c>
      <c r="V55" s="444" t="str">
        <f>SUMMARY!DA57</f>
        <v>-</v>
      </c>
    </row>
    <row r="56" spans="1:22" x14ac:dyDescent="0.35">
      <c r="A56" s="196" t="str">
        <f>SUMMARY!$B$58</f>
        <v>Milford Harbor</v>
      </c>
      <c r="B56" s="210">
        <f>SUMMARY!$C$58</f>
        <v>51</v>
      </c>
      <c r="C56" s="417" t="str">
        <f>SUMMARY!CJ58</f>
        <v>intermediate complexity hydrodynamics</v>
      </c>
      <c r="D56" s="422">
        <f>SUMMARY!CK58</f>
        <v>2</v>
      </c>
      <c r="E56" s="417" t="str">
        <f>SUMMARY!CL58</f>
        <v>intermediate or complex water quality</v>
      </c>
      <c r="F56" s="422">
        <f>SUMMARY!CM58</f>
        <v>3</v>
      </c>
      <c r="G56" s="422" t="str">
        <f>SUMMARY!CW58</f>
        <v>intermediate complexity hydrodynamics</v>
      </c>
      <c r="H56" s="422" t="str">
        <f>SUMMARY!CY58</f>
        <v>intermediate complexity water quality</v>
      </c>
      <c r="K56" s="441" t="str">
        <f>SUMMARY!$B$58</f>
        <v>Milford Harbor</v>
      </c>
      <c r="L56" s="436">
        <f>SUMMARY!$C$58</f>
        <v>51</v>
      </c>
      <c r="M56" s="432" t="str">
        <f t="shared" si="0"/>
        <v/>
      </c>
      <c r="N56" s="430" t="str">
        <f t="shared" si="1"/>
        <v>X</v>
      </c>
      <c r="O56" s="436" t="str">
        <f t="shared" si="2"/>
        <v/>
      </c>
      <c r="P56" s="435" t="str">
        <f t="shared" si="3"/>
        <v/>
      </c>
      <c r="Q56" s="430" t="str">
        <f t="shared" si="4"/>
        <v>X</v>
      </c>
      <c r="R56" s="436" t="str">
        <f t="shared" si="6"/>
        <v/>
      </c>
      <c r="S56" s="446" t="str">
        <f t="shared" si="5"/>
        <v/>
      </c>
      <c r="T56" s="444" t="str">
        <f>SUMMARY!CZ58</f>
        <v>N/A</v>
      </c>
      <c r="V56" s="444" t="str">
        <f>SUMMARY!DA58</f>
        <v>-</v>
      </c>
    </row>
    <row r="57" spans="1:22" x14ac:dyDescent="0.35">
      <c r="A57" s="256" t="str">
        <f>SUMMARY!$B$60</f>
        <v>Lewis Gut</v>
      </c>
      <c r="B57" s="257">
        <f>SUMMARY!$C$60</f>
        <v>53</v>
      </c>
      <c r="C57" s="418" t="str">
        <f>SUMMARY!CJ60</f>
        <v>intermediate complexity hydrodynamics</v>
      </c>
      <c r="D57" s="423">
        <f>SUMMARY!CK60</f>
        <v>2</v>
      </c>
      <c r="E57" s="418" t="str">
        <f>SUMMARY!CL60</f>
        <v>intermediate or complex water quality</v>
      </c>
      <c r="F57" s="423">
        <f>SUMMARY!CM60</f>
        <v>3</v>
      </c>
      <c r="G57" s="423" t="str">
        <f>SUMMARY!CW60</f>
        <v>intermediate complexity hydrodynamics</v>
      </c>
      <c r="H57" s="423" t="str">
        <f>SUMMARY!CY60</f>
        <v>intermediate complexity water quality</v>
      </c>
      <c r="K57" s="441" t="str">
        <f>SUMMARY!$B$60</f>
        <v>Lewis Gut</v>
      </c>
      <c r="L57" s="436">
        <f>SUMMARY!$C$60</f>
        <v>53</v>
      </c>
      <c r="M57" s="432" t="str">
        <f t="shared" si="0"/>
        <v/>
      </c>
      <c r="N57" s="430" t="str">
        <f t="shared" si="1"/>
        <v>X</v>
      </c>
      <c r="O57" s="436" t="str">
        <f t="shared" si="2"/>
        <v/>
      </c>
      <c r="P57" s="435" t="str">
        <f t="shared" si="3"/>
        <v/>
      </c>
      <c r="Q57" s="430" t="str">
        <f t="shared" si="4"/>
        <v>X</v>
      </c>
      <c r="R57" s="436" t="str">
        <f t="shared" si="6"/>
        <v/>
      </c>
      <c r="S57" s="446" t="str">
        <f t="shared" si="5"/>
        <v/>
      </c>
      <c r="T57" s="444" t="str">
        <f>SUMMARY!CZ60</f>
        <v>N/A</v>
      </c>
      <c r="V57" s="444" t="str">
        <f>SUMMARY!DA60</f>
        <v>-</v>
      </c>
    </row>
    <row r="58" spans="1:22" ht="72" x14ac:dyDescent="0.35">
      <c r="A58" s="256" t="str">
        <f>SUMMARY!$B$61</f>
        <v>Bridgeport Harbor</v>
      </c>
      <c r="B58" s="257">
        <f>SUMMARY!$C$61</f>
        <v>54</v>
      </c>
      <c r="C58" s="418" t="str">
        <f>SUMMARY!CJ61</f>
        <v>intermediate complexity hydrodynamics</v>
      </c>
      <c r="D58" s="423">
        <f>SUMMARY!CK61</f>
        <v>2</v>
      </c>
      <c r="E58" s="418" t="str">
        <f>SUMMARY!CL61</f>
        <v>intermediate or complex water quality</v>
      </c>
      <c r="F58" s="423">
        <f>SUMMARY!CM61</f>
        <v>3</v>
      </c>
      <c r="G58" s="423" t="str">
        <f>SUMMARY!CW61</f>
        <v>complex hydrodynamics</v>
      </c>
      <c r="H58" s="423" t="str">
        <f>SUMMARY!CY61</f>
        <v>complex water quality</v>
      </c>
      <c r="K58" s="441" t="str">
        <f>SUMMARY!$B$61</f>
        <v>Bridgeport Harbor</v>
      </c>
      <c r="L58" s="436">
        <f>SUMMARY!$C$61</f>
        <v>54</v>
      </c>
      <c r="M58" s="432" t="str">
        <f t="shared" si="0"/>
        <v/>
      </c>
      <c r="N58" s="430" t="str">
        <f t="shared" si="1"/>
        <v>&gt;</v>
      </c>
      <c r="O58" s="436" t="str">
        <f t="shared" si="2"/>
        <v>X</v>
      </c>
      <c r="P58" s="435" t="str">
        <f t="shared" si="3"/>
        <v/>
      </c>
      <c r="Q58" s="430" t="str">
        <f t="shared" si="4"/>
        <v/>
      </c>
      <c r="R58" s="436" t="str">
        <f t="shared" si="6"/>
        <v>X</v>
      </c>
      <c r="S58" s="446" t="str">
        <f t="shared" si="5"/>
        <v>*</v>
      </c>
      <c r="T58" s="444" t="str">
        <f>SUMMARY!CZ61</f>
        <v>Mid-size and deep, suggesting the system is more hydrodynamically complex than the small freshwater inflow would suggest - check salinity to see if vertical structure exists. Complex hydrodynamics categorization is recommended over intermediate. Given the depth and size, complex water quality categorization is recommended over intermediate.</v>
      </c>
      <c r="V58" s="444" t="str">
        <f>SUMMARY!DA61</f>
        <v>WASP</v>
      </c>
    </row>
    <row r="59" spans="1:22" ht="60" x14ac:dyDescent="0.35">
      <c r="A59" s="256" t="str">
        <f>SUMMARY!$B$62</f>
        <v>Pequonnock River</v>
      </c>
      <c r="B59" s="257">
        <f>SUMMARY!$C$62</f>
        <v>55</v>
      </c>
      <c r="C59" s="418" t="str">
        <f>SUMMARY!CJ62</f>
        <v>complex hydrodynamics</v>
      </c>
      <c r="D59" s="423">
        <f>SUMMARY!CK62</f>
        <v>3</v>
      </c>
      <c r="E59" s="418" t="str">
        <f>SUMMARY!CL62</f>
        <v>intermediate or complex water quality</v>
      </c>
      <c r="F59" s="423">
        <f>SUMMARY!CM62</f>
        <v>3</v>
      </c>
      <c r="G59" s="423" t="str">
        <f>SUMMARY!CW62</f>
        <v>intermediate complexity hydrodynamics</v>
      </c>
      <c r="H59" s="423" t="str">
        <f>SUMMARY!CY62</f>
        <v>intermediate complexity water quality</v>
      </c>
      <c r="K59" s="441" t="str">
        <f>SUMMARY!$B$62</f>
        <v>Pequonnock River</v>
      </c>
      <c r="L59" s="436">
        <f>SUMMARY!$C$62</f>
        <v>55</v>
      </c>
      <c r="M59" s="432" t="str">
        <f t="shared" si="0"/>
        <v/>
      </c>
      <c r="N59" s="430" t="str">
        <f t="shared" si="1"/>
        <v>X</v>
      </c>
      <c r="O59" s="436" t="str">
        <f t="shared" si="2"/>
        <v>&lt;</v>
      </c>
      <c r="P59" s="435" t="str">
        <f t="shared" si="3"/>
        <v/>
      </c>
      <c r="Q59" s="430" t="str">
        <f t="shared" si="4"/>
        <v>X</v>
      </c>
      <c r="R59" s="436" t="str">
        <f t="shared" si="6"/>
        <v/>
      </c>
      <c r="S59" s="446" t="str">
        <f t="shared" si="5"/>
        <v>*</v>
      </c>
      <c r="T59" s="444" t="str">
        <f>SUMMARY!CZ62</f>
        <v>Small and shallow but has a high WEANE Factor and a point source with a high salinity dilution ratio. Intermediate hydrodynamics categorization is recommended over complex, but check salinity to see if complex hydrodynamics is necessary for modeling.</v>
      </c>
      <c r="V59" s="444" t="str">
        <f>SUMMARY!DA62</f>
        <v>WASP</v>
      </c>
    </row>
    <row r="60" spans="1:22" ht="60" x14ac:dyDescent="0.35">
      <c r="A60" s="196" t="str">
        <f>SUMMARY!$B$63</f>
        <v>Lewis Gut + Bridgeport H. + Pequonnock R.</v>
      </c>
      <c r="B60" s="210" t="str">
        <f>SUMMARY!$C$63</f>
        <v>53-54-55</v>
      </c>
      <c r="C60" s="417" t="str">
        <f>SUMMARY!CJ63</f>
        <v>intermediate complexity hydrodynamics</v>
      </c>
      <c r="D60" s="422">
        <f>SUMMARY!CK63</f>
        <v>2</v>
      </c>
      <c r="E60" s="417" t="str">
        <f>SUMMARY!CL63</f>
        <v>intermediate or complex water quality</v>
      </c>
      <c r="F60" s="422">
        <f>SUMMARY!CM63</f>
        <v>3</v>
      </c>
      <c r="G60" s="422" t="str">
        <f>SUMMARY!CW63</f>
        <v>complex hydrodynamics</v>
      </c>
      <c r="H60" s="422" t="str">
        <f>SUMMARY!CY63</f>
        <v>complex water quality</v>
      </c>
      <c r="K60" s="441" t="str">
        <f>SUMMARY!$B$63</f>
        <v>Lewis Gut + Bridgeport H. + Pequonnock R.</v>
      </c>
      <c r="L60" s="436" t="str">
        <f>SUMMARY!$C$63</f>
        <v>53-54-55</v>
      </c>
      <c r="M60" s="432" t="str">
        <f t="shared" si="0"/>
        <v/>
      </c>
      <c r="N60" s="430" t="str">
        <f t="shared" si="1"/>
        <v>&gt;</v>
      </c>
      <c r="O60" s="436" t="str">
        <f t="shared" si="2"/>
        <v>X</v>
      </c>
      <c r="P60" s="435" t="str">
        <f t="shared" si="3"/>
        <v/>
      </c>
      <c r="Q60" s="430" t="str">
        <f t="shared" si="4"/>
        <v/>
      </c>
      <c r="R60" s="436" t="str">
        <f t="shared" si="6"/>
        <v>X</v>
      </c>
      <c r="S60" s="446" t="str">
        <f t="shared" si="5"/>
        <v>*</v>
      </c>
      <c r="T60" s="444" t="str">
        <f>SUMMARY!CZ63</f>
        <v>Mid-size, deep areas, moderate sinuosity, higher WEANE Factor and a point source. Given the depth and size, complex hydrodynamics categorization is recommended over intermediate. Given the depth and size, complex water quality categorization is recommended over intermediate.</v>
      </c>
      <c r="V60" s="444" t="str">
        <f>SUMMARY!DA63</f>
        <v>WASP</v>
      </c>
    </row>
    <row r="61" spans="1:22" ht="60" x14ac:dyDescent="0.35">
      <c r="A61" s="196" t="str">
        <f>SUMMARY!$B$64</f>
        <v>Black Rock Harbor</v>
      </c>
      <c r="B61" s="210">
        <f>SUMMARY!$C$64</f>
        <v>56</v>
      </c>
      <c r="C61" s="417" t="str">
        <f>SUMMARY!CJ64</f>
        <v>simple complexity hydrodynamics</v>
      </c>
      <c r="D61" s="422">
        <f>SUMMARY!CK64</f>
        <v>1</v>
      </c>
      <c r="E61" s="417" t="str">
        <f>SUMMARY!CL64</f>
        <v>complex water quality</v>
      </c>
      <c r="F61" s="422">
        <f>SUMMARY!CM64</f>
        <v>4</v>
      </c>
      <c r="G61" s="422" t="str">
        <f>SUMMARY!CW64</f>
        <v>intermediate complexity hydrodynamics</v>
      </c>
      <c r="H61" s="422" t="str">
        <f>SUMMARY!CY64</f>
        <v>complex water quality</v>
      </c>
      <c r="K61" s="441" t="str">
        <f>SUMMARY!$B$64</f>
        <v>Black Rock Harbor</v>
      </c>
      <c r="L61" s="436">
        <f>SUMMARY!$C$64</f>
        <v>56</v>
      </c>
      <c r="M61" s="432" t="str">
        <f t="shared" si="0"/>
        <v>&gt;</v>
      </c>
      <c r="N61" s="430" t="str">
        <f t="shared" si="1"/>
        <v>X</v>
      </c>
      <c r="O61" s="436" t="str">
        <f t="shared" si="2"/>
        <v/>
      </c>
      <c r="P61" s="435" t="str">
        <f t="shared" si="3"/>
        <v/>
      </c>
      <c r="Q61" s="430" t="str">
        <f t="shared" si="4"/>
        <v/>
      </c>
      <c r="R61" s="436" t="str">
        <f t="shared" si="6"/>
        <v>X</v>
      </c>
      <c r="S61" s="446" t="str">
        <f t="shared" si="5"/>
        <v>*</v>
      </c>
      <c r="T61" s="444" t="str">
        <f>SUMMARY!CZ64</f>
        <v>Even though the salinity dilution ratio is low, the site is mid-size with deep areas. The WEANE Factor is extremely high and likely to create gradients, even if salinity looks similar among areas and in the vertical. Intermediate hydrodynamics categorization is recommended over simple.</v>
      </c>
      <c r="V61" s="444" t="str">
        <f>SUMMARY!DA64</f>
        <v>WASP</v>
      </c>
    </row>
    <row r="62" spans="1:22" x14ac:dyDescent="0.35">
      <c r="A62" s="196" t="str">
        <f>SUMMARY!$B$65</f>
        <v>Ash Creek</v>
      </c>
      <c r="B62" s="210">
        <f>SUMMARY!$C$65</f>
        <v>57</v>
      </c>
      <c r="C62" s="417" t="str">
        <f>SUMMARY!CJ65</f>
        <v>intermediate complexity hydrodynamics</v>
      </c>
      <c r="D62" s="422">
        <f>SUMMARY!CK65</f>
        <v>2</v>
      </c>
      <c r="E62" s="417" t="str">
        <f>SUMMARY!CL65</f>
        <v>intermediate complexity water quality</v>
      </c>
      <c r="F62" s="422">
        <f>SUMMARY!CM65</f>
        <v>2</v>
      </c>
      <c r="G62" s="422" t="str">
        <f>SUMMARY!CW65</f>
        <v>intermediate complexity hydrodynamics</v>
      </c>
      <c r="H62" s="422" t="str">
        <f>SUMMARY!CY65</f>
        <v>intermediate complexity water quality</v>
      </c>
      <c r="K62" s="441" t="str">
        <f>SUMMARY!$B$65</f>
        <v>Ash Creek</v>
      </c>
      <c r="L62" s="436">
        <f>SUMMARY!$C$65</f>
        <v>57</v>
      </c>
      <c r="M62" s="432" t="str">
        <f t="shared" si="0"/>
        <v/>
      </c>
      <c r="N62" s="430" t="str">
        <f t="shared" si="1"/>
        <v>X</v>
      </c>
      <c r="O62" s="436" t="str">
        <f t="shared" si="2"/>
        <v/>
      </c>
      <c r="P62" s="435" t="str">
        <f t="shared" si="3"/>
        <v/>
      </c>
      <c r="Q62" s="430" t="str">
        <f t="shared" si="4"/>
        <v>X</v>
      </c>
      <c r="R62" s="436" t="str">
        <f t="shared" si="6"/>
        <v/>
      </c>
      <c r="S62" s="446" t="str">
        <f t="shared" si="5"/>
        <v/>
      </c>
      <c r="T62" s="444" t="str">
        <f>SUMMARY!CZ65</f>
        <v>N/A</v>
      </c>
      <c r="V62" s="444" t="str">
        <f>SUMMARY!DA65</f>
        <v>-</v>
      </c>
    </row>
    <row r="63" spans="1:22" x14ac:dyDescent="0.35">
      <c r="A63" s="196" t="str">
        <f>SUMMARY!$B$66</f>
        <v>Pine Creek</v>
      </c>
      <c r="B63" s="210">
        <f>SUMMARY!$C$66</f>
        <v>58</v>
      </c>
      <c r="C63" s="417" t="str">
        <f>SUMMARY!CJ66</f>
        <v>intermediate complexity hydrodynamics</v>
      </c>
      <c r="D63" s="422">
        <f>SUMMARY!CK66</f>
        <v>2</v>
      </c>
      <c r="E63" s="417" t="str">
        <f>SUMMARY!CL66</f>
        <v>intermediate or complex water quality</v>
      </c>
      <c r="F63" s="422">
        <f>SUMMARY!CM66</f>
        <v>3</v>
      </c>
      <c r="G63" s="422" t="str">
        <f>SUMMARY!CW66</f>
        <v>intermediate complexity hydrodynamics</v>
      </c>
      <c r="H63" s="422" t="str">
        <f>SUMMARY!CY66</f>
        <v>intermediate complexity water quality</v>
      </c>
      <c r="K63" s="441" t="str">
        <f>SUMMARY!$B$66</f>
        <v>Pine Creek</v>
      </c>
      <c r="L63" s="436">
        <f>SUMMARY!$C$66</f>
        <v>58</v>
      </c>
      <c r="M63" s="432" t="str">
        <f t="shared" si="0"/>
        <v/>
      </c>
      <c r="N63" s="430" t="str">
        <f t="shared" si="1"/>
        <v>X</v>
      </c>
      <c r="O63" s="436" t="str">
        <f t="shared" si="2"/>
        <v/>
      </c>
      <c r="P63" s="435" t="str">
        <f t="shared" si="3"/>
        <v/>
      </c>
      <c r="Q63" s="430" t="str">
        <f t="shared" si="4"/>
        <v>X</v>
      </c>
      <c r="R63" s="436" t="str">
        <f t="shared" si="6"/>
        <v/>
      </c>
      <c r="S63" s="446" t="str">
        <f t="shared" si="5"/>
        <v/>
      </c>
      <c r="T63" s="444" t="str">
        <f>SUMMARY!CZ66</f>
        <v>N/A</v>
      </c>
      <c r="V63" s="444" t="str">
        <f>SUMMARY!DA66</f>
        <v>-</v>
      </c>
    </row>
    <row r="64" spans="1:22" ht="48" x14ac:dyDescent="0.35">
      <c r="A64" s="196" t="str">
        <f>SUMMARY!$B$67</f>
        <v>Mill River</v>
      </c>
      <c r="B64" s="210">
        <f>SUMMARY!$C$67</f>
        <v>59</v>
      </c>
      <c r="C64" s="417" t="str">
        <f>SUMMARY!CJ67</f>
        <v>complex hydrodynamics</v>
      </c>
      <c r="D64" s="422">
        <f>SUMMARY!CK67</f>
        <v>3</v>
      </c>
      <c r="E64" s="417" t="str">
        <f>SUMMARY!CL67</f>
        <v>intermediate complexity water quality</v>
      </c>
      <c r="F64" s="422">
        <f>SUMMARY!CM67</f>
        <v>2</v>
      </c>
      <c r="G64" s="422" t="str">
        <f>SUMMARY!CW67</f>
        <v>intermediate complexity hydrodynamics</v>
      </c>
      <c r="H64" s="422" t="str">
        <f>SUMMARY!CY67</f>
        <v>intermediate complexity water quality</v>
      </c>
      <c r="K64" s="441" t="str">
        <f>SUMMARY!$B$67</f>
        <v>Mill River</v>
      </c>
      <c r="L64" s="436">
        <f>SUMMARY!$C$67</f>
        <v>59</v>
      </c>
      <c r="M64" s="432" t="str">
        <f t="shared" si="0"/>
        <v/>
      </c>
      <c r="N64" s="430" t="str">
        <f t="shared" si="1"/>
        <v>X</v>
      </c>
      <c r="O64" s="436" t="str">
        <f t="shared" si="2"/>
        <v>&lt;</v>
      </c>
      <c r="P64" s="435" t="str">
        <f t="shared" si="3"/>
        <v/>
      </c>
      <c r="Q64" s="430" t="str">
        <f t="shared" si="4"/>
        <v>X</v>
      </c>
      <c r="R64" s="436" t="str">
        <f t="shared" si="6"/>
        <v/>
      </c>
      <c r="S64" s="446" t="str">
        <f t="shared" si="5"/>
        <v/>
      </c>
      <c r="T64" s="444" t="str">
        <f>SUMMARY!CZ67</f>
        <v>Small and shallow with a high salinity dilution ratio and moderate sinuosity. The WEANE Factor is moderately low. Based on depth, intermediate hydrodynamics categorization is recommended over complex.</v>
      </c>
      <c r="V64" s="444" t="str">
        <f>SUMMARY!DA67</f>
        <v>-</v>
      </c>
    </row>
    <row r="65" spans="1:22" ht="48" x14ac:dyDescent="0.35">
      <c r="A65" s="196" t="str">
        <f>SUMMARY!$B$68</f>
        <v>Sasco Brook</v>
      </c>
      <c r="B65" s="210">
        <f>SUMMARY!$C$68</f>
        <v>60</v>
      </c>
      <c r="C65" s="417" t="str">
        <f>SUMMARY!CJ68</f>
        <v>complex hydrodynamics</v>
      </c>
      <c r="D65" s="422">
        <f>SUMMARY!CK68</f>
        <v>3</v>
      </c>
      <c r="E65" s="417" t="str">
        <f>SUMMARY!CL68</f>
        <v>intermediate complexity water quality</v>
      </c>
      <c r="F65" s="422">
        <f>SUMMARY!CM68</f>
        <v>2</v>
      </c>
      <c r="G65" s="422" t="str">
        <f>SUMMARY!CW68</f>
        <v>intermediate complexity hydrodynamics</v>
      </c>
      <c r="H65" s="422" t="str">
        <f>SUMMARY!CY68</f>
        <v>intermediate complexity water quality</v>
      </c>
      <c r="K65" s="441" t="str">
        <f>SUMMARY!$B$68</f>
        <v>Sasco Brook</v>
      </c>
      <c r="L65" s="436">
        <f>SUMMARY!$C$68</f>
        <v>60</v>
      </c>
      <c r="M65" s="432" t="str">
        <f t="shared" si="0"/>
        <v/>
      </c>
      <c r="N65" s="430" t="str">
        <f t="shared" si="1"/>
        <v>X</v>
      </c>
      <c r="O65" s="436" t="str">
        <f t="shared" si="2"/>
        <v>&lt;</v>
      </c>
      <c r="P65" s="435" t="str">
        <f t="shared" si="3"/>
        <v/>
      </c>
      <c r="Q65" s="430" t="str">
        <f t="shared" si="4"/>
        <v>X</v>
      </c>
      <c r="R65" s="436" t="str">
        <f t="shared" si="6"/>
        <v/>
      </c>
      <c r="S65" s="446" t="str">
        <f t="shared" si="5"/>
        <v/>
      </c>
      <c r="T65" s="444" t="str">
        <f>SUMMARY!CZ68</f>
        <v>Tiny and shallow with a high salinity dilution ratio and high sinuosity. The WEANE Factor is moderately low. Based on depth, intermediate hydrodynamics categorization is recommended over complex.</v>
      </c>
      <c r="V65" s="444" t="str">
        <f>SUMMARY!DA68</f>
        <v>-</v>
      </c>
    </row>
    <row r="66" spans="1:22" ht="60" x14ac:dyDescent="0.35">
      <c r="A66" s="196" t="str">
        <f>SUMMARY!$B$69</f>
        <v>Sherwood Millpond</v>
      </c>
      <c r="B66" s="210">
        <f>SUMMARY!$C$69</f>
        <v>61</v>
      </c>
      <c r="C66" s="417" t="str">
        <f>SUMMARY!CJ69</f>
        <v>intermediate complexity hydrodynamics</v>
      </c>
      <c r="D66" s="422">
        <f>SUMMARY!CK69</f>
        <v>2</v>
      </c>
      <c r="E66" s="417" t="str">
        <f>SUMMARY!CL69</f>
        <v>complex water quality</v>
      </c>
      <c r="F66" s="422">
        <f>SUMMARY!CM69</f>
        <v>4</v>
      </c>
      <c r="G66" s="422" t="str">
        <f>SUMMARY!CW69</f>
        <v>intermediate complexity hydrodynamics</v>
      </c>
      <c r="H66" s="422" t="str">
        <f>SUMMARY!CY69</f>
        <v>intermediate complexity water quality</v>
      </c>
      <c r="K66" s="441" t="str">
        <f>SUMMARY!$B$69</f>
        <v>Sherwood Millpond</v>
      </c>
      <c r="L66" s="436">
        <f>SUMMARY!$C$69</f>
        <v>61</v>
      </c>
      <c r="M66" s="432" t="str">
        <f t="shared" si="0"/>
        <v/>
      </c>
      <c r="N66" s="430" t="str">
        <f t="shared" si="1"/>
        <v>X</v>
      </c>
      <c r="O66" s="436" t="str">
        <f t="shared" si="2"/>
        <v/>
      </c>
      <c r="P66" s="435" t="str">
        <f t="shared" si="3"/>
        <v/>
      </c>
      <c r="Q66" s="430" t="str">
        <f t="shared" si="4"/>
        <v>X</v>
      </c>
      <c r="R66" s="436" t="str">
        <f t="shared" si="6"/>
        <v>&lt;</v>
      </c>
      <c r="S66" s="446" t="str">
        <f t="shared" si="5"/>
        <v/>
      </c>
      <c r="T66" s="444" t="str">
        <f>SUMMARY!CZ69</f>
        <v>Shallow depth, mid-size, and moderate sinuosity. Salinity dilution ratio is intermediate. WEANE Factor is at the very lower end of the complex range. Based on depth and WEANE Factor, intermediate complexity water quality categorization is recommended over complex.</v>
      </c>
      <c r="V66" s="444" t="str">
        <f>SUMMARY!DA69</f>
        <v>-</v>
      </c>
    </row>
    <row r="67" spans="1:22" ht="60" x14ac:dyDescent="0.35">
      <c r="A67" s="196" t="str">
        <f>SUMMARY!$B$70</f>
        <v>Compo Cove</v>
      </c>
      <c r="B67" s="210">
        <f>SUMMARY!$C$70</f>
        <v>62</v>
      </c>
      <c r="C67" s="417" t="str">
        <f>SUMMARY!CJ70</f>
        <v>intermediate complexity hydrodynamics</v>
      </c>
      <c r="D67" s="422">
        <f>SUMMARY!CK70</f>
        <v>2</v>
      </c>
      <c r="E67" s="417" t="str">
        <f>SUMMARY!CL70</f>
        <v>complex water quality</v>
      </c>
      <c r="F67" s="422">
        <f>SUMMARY!CM70</f>
        <v>4</v>
      </c>
      <c r="G67" s="422" t="str">
        <f>SUMMARY!CW70</f>
        <v>intermediate complexity hydrodynamics</v>
      </c>
      <c r="H67" s="422" t="str">
        <f>SUMMARY!CY70</f>
        <v>intermediate complexity water quality</v>
      </c>
      <c r="K67" s="441" t="str">
        <f>SUMMARY!$B$70</f>
        <v>Compo Cove</v>
      </c>
      <c r="L67" s="436">
        <f>SUMMARY!$C$70</f>
        <v>62</v>
      </c>
      <c r="M67" s="432" t="str">
        <f t="shared" si="0"/>
        <v/>
      </c>
      <c r="N67" s="430" t="str">
        <f t="shared" si="1"/>
        <v>X</v>
      </c>
      <c r="O67" s="436" t="str">
        <f t="shared" si="2"/>
        <v/>
      </c>
      <c r="P67" s="435" t="str">
        <f t="shared" si="3"/>
        <v/>
      </c>
      <c r="Q67" s="430" t="str">
        <f t="shared" si="4"/>
        <v>X</v>
      </c>
      <c r="R67" s="436" t="str">
        <f t="shared" si="6"/>
        <v>&lt;</v>
      </c>
      <c r="S67" s="446" t="str">
        <f t="shared" ref="S67:S92" si="7">IF(V67="WASP","*","")</f>
        <v/>
      </c>
      <c r="T67" s="444" t="str">
        <f>SUMMARY!CZ70</f>
        <v>Shallow depth, very small size, and very low sinuosity. Salinity dilution ratio is intermediate. WEANE Factor is at the very lower end of the complex range. Based on depth and WEANE Factor, intermediate complexity water quality categorization is recommended over complex.</v>
      </c>
      <c r="V67" s="444" t="str">
        <f>SUMMARY!DA70</f>
        <v>-</v>
      </c>
    </row>
    <row r="68" spans="1:22" ht="60" x14ac:dyDescent="0.35">
      <c r="A68" s="196" t="str">
        <f>SUMMARY!$B$71</f>
        <v>Sherwood Millpond + Compo Cove</v>
      </c>
      <c r="B68" s="210" t="str">
        <f>SUMMARY!$C$71</f>
        <v>61-62</v>
      </c>
      <c r="C68" s="417" t="str">
        <f>SUMMARY!CJ71</f>
        <v>intermediate complexity hydrodynamics</v>
      </c>
      <c r="D68" s="422">
        <f>SUMMARY!CK71</f>
        <v>2</v>
      </c>
      <c r="E68" s="417" t="str">
        <f>SUMMARY!CL71</f>
        <v>complex water quality</v>
      </c>
      <c r="F68" s="422">
        <f>SUMMARY!CM71</f>
        <v>4</v>
      </c>
      <c r="G68" s="422" t="str">
        <f>SUMMARY!CW71</f>
        <v>intermediate complexity hydrodynamics</v>
      </c>
      <c r="H68" s="422" t="str">
        <f>SUMMARY!CY71</f>
        <v>intermediate complexity water quality</v>
      </c>
      <c r="K68" s="441" t="str">
        <f>SUMMARY!$B$71</f>
        <v>Sherwood Millpond + Compo Cove</v>
      </c>
      <c r="L68" s="436" t="str">
        <f>SUMMARY!$C$71</f>
        <v>61-62</v>
      </c>
      <c r="M68" s="432" t="str">
        <f t="shared" si="0"/>
        <v/>
      </c>
      <c r="N68" s="430" t="str">
        <f t="shared" si="1"/>
        <v>X</v>
      </c>
      <c r="O68" s="436" t="str">
        <f t="shared" si="2"/>
        <v/>
      </c>
      <c r="P68" s="435" t="str">
        <f t="shared" si="3"/>
        <v/>
      </c>
      <c r="Q68" s="430" t="str">
        <f t="shared" si="4"/>
        <v>X</v>
      </c>
      <c r="R68" s="436" t="str">
        <f t="shared" si="6"/>
        <v>&lt;</v>
      </c>
      <c r="S68" s="446" t="str">
        <f t="shared" si="7"/>
        <v/>
      </c>
      <c r="T68" s="444" t="str">
        <f>SUMMARY!CZ71</f>
        <v>Shallow depth, mid-size, and moderate sinuosity. Salinity dilution ratio is intermediate. WEANE Factor is at the lower end of the complex range. Based on depth and WEANE Factor, intermediate complexity water quality categorization is recommended over complex.</v>
      </c>
      <c r="V68" s="444" t="str">
        <f>SUMMARY!DA71</f>
        <v>-</v>
      </c>
    </row>
    <row r="69" spans="1:22" x14ac:dyDescent="0.35">
      <c r="A69" s="196" t="str">
        <f>SUMMARY!$B$73</f>
        <v>Saugatuck River</v>
      </c>
      <c r="B69" s="210">
        <f>SUMMARY!$C$73</f>
        <v>64</v>
      </c>
      <c r="C69" s="417" t="str">
        <f>SUMMARY!CJ73</f>
        <v>intermediate complexity hydrodynamics</v>
      </c>
      <c r="D69" s="422">
        <f>SUMMARY!CK73</f>
        <v>2</v>
      </c>
      <c r="E69" s="417" t="str">
        <f>SUMMARY!CL73</f>
        <v>intermediate complexity water quality</v>
      </c>
      <c r="F69" s="422">
        <f>SUMMARY!CM73</f>
        <v>2</v>
      </c>
      <c r="G69" s="422" t="str">
        <f>SUMMARY!CW73</f>
        <v>intermediate complexity hydrodynamics</v>
      </c>
      <c r="H69" s="422" t="str">
        <f>SUMMARY!CY73</f>
        <v>intermediate complexity water quality</v>
      </c>
      <c r="K69" s="441" t="str">
        <f>SUMMARY!$B$73</f>
        <v>Saugatuck River</v>
      </c>
      <c r="L69" s="436">
        <f>SUMMARY!$C$73</f>
        <v>64</v>
      </c>
      <c r="M69" s="432" t="str">
        <f t="shared" si="0"/>
        <v/>
      </c>
      <c r="N69" s="430" t="str">
        <f t="shared" si="1"/>
        <v>X</v>
      </c>
      <c r="O69" s="436" t="str">
        <f t="shared" si="2"/>
        <v/>
      </c>
      <c r="P69" s="435" t="str">
        <f t="shared" si="3"/>
        <v/>
      </c>
      <c r="Q69" s="430" t="str">
        <f t="shared" si="4"/>
        <v>X</v>
      </c>
      <c r="R69" s="436" t="str">
        <f t="shared" si="6"/>
        <v/>
      </c>
      <c r="S69" s="446" t="str">
        <f t="shared" si="7"/>
        <v>*</v>
      </c>
      <c r="T69" s="444" t="str">
        <f>SUMMARY!CZ73</f>
        <v>N/A</v>
      </c>
      <c r="V69" s="444" t="str">
        <f>SUMMARY!DA73</f>
        <v>WASP</v>
      </c>
    </row>
    <row r="70" spans="1:22" ht="84" x14ac:dyDescent="0.35">
      <c r="A70" s="196" t="str">
        <f>SUMMARY!$B$74</f>
        <v>Cockenoe Harbor</v>
      </c>
      <c r="B70" s="210">
        <f>SUMMARY!$C$74</f>
        <v>65</v>
      </c>
      <c r="C70" s="417" t="str">
        <f>SUMMARY!CJ74</f>
        <v>simple complexity hydrodynamics</v>
      </c>
      <c r="D70" s="422">
        <f>SUMMARY!CK74</f>
        <v>1</v>
      </c>
      <c r="E70" s="417" t="str">
        <f>SUMMARY!CL74</f>
        <v>complex water quality</v>
      </c>
      <c r="F70" s="422">
        <f>SUMMARY!CM74</f>
        <v>4</v>
      </c>
      <c r="G70" s="422" t="str">
        <f>SUMMARY!CW74</f>
        <v>intermediate complexity hydrodynamics</v>
      </c>
      <c r="H70" s="422" t="str">
        <f>SUMMARY!CY74</f>
        <v>intermediate complexity water quality</v>
      </c>
      <c r="K70" s="441" t="str">
        <f>SUMMARY!$B$74</f>
        <v>Cockenoe Harbor</v>
      </c>
      <c r="L70" s="436">
        <f>SUMMARY!$C$74</f>
        <v>65</v>
      </c>
      <c r="M70" s="432" t="str">
        <f t="shared" ref="M70:M92" si="8">IF(LEFT($G70,1)=LEFT(M$3,1),"X",IF(C70=G70,"",IF(D70=1,"&gt;","")))</f>
        <v>&gt;</v>
      </c>
      <c r="N70" s="430" t="str">
        <f t="shared" ref="N70:N92" si="9">IF(LEFT($G70,1)=LEFT(N$3,1),"X",IF(C70=G70,"",IF(LEFT(G70,1)="s","&lt;","&gt;")))</f>
        <v>X</v>
      </c>
      <c r="O70" s="436" t="str">
        <f t="shared" ref="O70:O92" si="10">IF(LEFT($G70,1)=LEFT(O$3,1),"X",IF(C70=G70,"",IF(D70=3,"&lt;","")))</f>
        <v/>
      </c>
      <c r="P70" s="435" t="str">
        <f t="shared" ref="P70:P92" si="11">IF(LEFT($H70,1)=LEFT(M$3,1),"X",IF(E70=H70,"",IF(F70=1,"&gt;","")))</f>
        <v/>
      </c>
      <c r="Q70" s="430" t="str">
        <f t="shared" ref="Q70:Q92" si="12">IF(LEFT($H70,1)=LEFT(Q$3,1),"X",IF(E70=H70,"",IF(LEFT(H70,1)="s","&lt;",IF(F70=2,"&gt;",""))))</f>
        <v>X</v>
      </c>
      <c r="R70" s="436" t="str">
        <f t="shared" si="6"/>
        <v>&lt;</v>
      </c>
      <c r="S70" s="446" t="str">
        <f t="shared" si="7"/>
        <v/>
      </c>
      <c r="T70" s="444" t="str">
        <f>SUMMARY!CZ74</f>
        <v>Even though the salinity dilution ratio is low, the site is small with moderate depth. The WEANE Factor is high and nutrient gradients are likely even in the absence of salinity gradients. Intermediate hydrodynamics categorization is recommended over simple. Given the low salinity dilution ratio and moderate depth, intermediate water quality categorization is recommended over complex.</v>
      </c>
      <c r="V70" s="444" t="str">
        <f>SUMMARY!DA74</f>
        <v>-</v>
      </c>
    </row>
    <row r="71" spans="1:22" ht="36" x14ac:dyDescent="0.35">
      <c r="A71" s="196" t="str">
        <f>SUMMARY!$B$75</f>
        <v>Norwalk Harbor</v>
      </c>
      <c r="B71" s="210">
        <f>SUMMARY!$C$75</f>
        <v>66</v>
      </c>
      <c r="C71" s="417" t="str">
        <f>SUMMARY!CJ75</f>
        <v>intermediate complexity hydrodynamics</v>
      </c>
      <c r="D71" s="422">
        <f>SUMMARY!CK75</f>
        <v>2</v>
      </c>
      <c r="E71" s="417" t="str">
        <f>SUMMARY!CL75</f>
        <v>complex water quality</v>
      </c>
      <c r="F71" s="422">
        <f>SUMMARY!CM75</f>
        <v>4</v>
      </c>
      <c r="G71" s="422" t="str">
        <f>SUMMARY!CW75</f>
        <v>complex hydrodynamics</v>
      </c>
      <c r="H71" s="422" t="str">
        <f>SUMMARY!CY75</f>
        <v>complex water quality</v>
      </c>
      <c r="K71" s="441" t="str">
        <f>SUMMARY!$B$75</f>
        <v>Norwalk Harbor</v>
      </c>
      <c r="L71" s="436">
        <f>SUMMARY!$C$75</f>
        <v>66</v>
      </c>
      <c r="M71" s="432" t="str">
        <f t="shared" si="8"/>
        <v/>
      </c>
      <c r="N71" s="430" t="str">
        <f t="shared" si="9"/>
        <v>&gt;</v>
      </c>
      <c r="O71" s="436" t="str">
        <f t="shared" si="10"/>
        <v>X</v>
      </c>
      <c r="P71" s="435" t="str">
        <f t="shared" si="11"/>
        <v/>
      </c>
      <c r="Q71" s="430" t="str">
        <f t="shared" si="12"/>
        <v/>
      </c>
      <c r="R71" s="436" t="str">
        <f t="shared" si="6"/>
        <v>X</v>
      </c>
      <c r="S71" s="446" t="str">
        <f t="shared" si="7"/>
        <v>*</v>
      </c>
      <c r="T71" s="444" t="str">
        <f>SUMMARY!CZ75</f>
        <v>Mid-size, deep, very low sinuosity, high WEANE Factor and a point source. Complex hydrodynamics categorization is recommended over intermediate.</v>
      </c>
      <c r="V71" s="444" t="str">
        <f>SUMMARY!DA75</f>
        <v>WASP</v>
      </c>
    </row>
    <row r="72" spans="1:22" ht="29" x14ac:dyDescent="0.35">
      <c r="A72" s="196" t="str">
        <f>SUMMARY!$B$76</f>
        <v>Sheffield Island Harbor</v>
      </c>
      <c r="B72" s="210">
        <f>SUMMARY!$C$76</f>
        <v>67</v>
      </c>
      <c r="C72" s="417" t="str">
        <f>SUMMARY!CJ76</f>
        <v>intermediate complexity hydrodynamics</v>
      </c>
      <c r="D72" s="422">
        <f>SUMMARY!CK76</f>
        <v>2</v>
      </c>
      <c r="E72" s="417" t="str">
        <f>SUMMARY!CL76</f>
        <v>intermediate complexity water quality</v>
      </c>
      <c r="F72" s="422">
        <f>SUMMARY!CM76</f>
        <v>2</v>
      </c>
      <c r="G72" s="422" t="str">
        <f>SUMMARY!CW76</f>
        <v>intermediate complexity hydrodynamics</v>
      </c>
      <c r="H72" s="422" t="str">
        <f>SUMMARY!CY76</f>
        <v>intermediate complexity water quality</v>
      </c>
      <c r="K72" s="441" t="str">
        <f>SUMMARY!$B$76</f>
        <v>Sheffield Island Harbor</v>
      </c>
      <c r="L72" s="436">
        <f>SUMMARY!$C$76</f>
        <v>67</v>
      </c>
      <c r="M72" s="432" t="str">
        <f t="shared" si="8"/>
        <v/>
      </c>
      <c r="N72" s="430" t="str">
        <f t="shared" si="9"/>
        <v>X</v>
      </c>
      <c r="O72" s="436" t="str">
        <f t="shared" si="10"/>
        <v/>
      </c>
      <c r="P72" s="435" t="str">
        <f t="shared" si="11"/>
        <v/>
      </c>
      <c r="Q72" s="430" t="str">
        <f t="shared" si="12"/>
        <v>X</v>
      </c>
      <c r="R72" s="436" t="str">
        <f t="shared" si="6"/>
        <v/>
      </c>
      <c r="S72" s="446" t="str">
        <f t="shared" si="7"/>
        <v/>
      </c>
      <c r="T72" s="444" t="str">
        <f>SUMMARY!CZ76</f>
        <v>N/A</v>
      </c>
      <c r="V72" s="444" t="str">
        <f>SUMMARY!DA76</f>
        <v>-</v>
      </c>
    </row>
    <row r="73" spans="1:22" x14ac:dyDescent="0.35">
      <c r="A73" s="196" t="str">
        <f>SUMMARY!$B$77</f>
        <v>Five Mile River</v>
      </c>
      <c r="B73" s="210">
        <f>SUMMARY!$C$77</f>
        <v>68</v>
      </c>
      <c r="C73" s="417" t="str">
        <f>SUMMARY!CJ77</f>
        <v>intermediate complexity hydrodynamics</v>
      </c>
      <c r="D73" s="422">
        <f>SUMMARY!CK77</f>
        <v>2</v>
      </c>
      <c r="E73" s="417" t="str">
        <f>SUMMARY!CL77</f>
        <v>intermediate or complex water quality</v>
      </c>
      <c r="F73" s="422">
        <f>SUMMARY!CM77</f>
        <v>3</v>
      </c>
      <c r="G73" s="422" t="str">
        <f>SUMMARY!CW77</f>
        <v>intermediate complexity hydrodynamics</v>
      </c>
      <c r="H73" s="422" t="str">
        <f>SUMMARY!CY77</f>
        <v>intermediate complexity water quality</v>
      </c>
      <c r="K73" s="441" t="str">
        <f>SUMMARY!$B$77</f>
        <v>Five Mile River</v>
      </c>
      <c r="L73" s="436">
        <f>SUMMARY!$C$77</f>
        <v>68</v>
      </c>
      <c r="M73" s="432" t="str">
        <f t="shared" si="8"/>
        <v/>
      </c>
      <c r="N73" s="430" t="str">
        <f t="shared" si="9"/>
        <v>X</v>
      </c>
      <c r="O73" s="436" t="str">
        <f t="shared" si="10"/>
        <v/>
      </c>
      <c r="P73" s="435" t="str">
        <f t="shared" si="11"/>
        <v/>
      </c>
      <c r="Q73" s="430" t="str">
        <f t="shared" si="12"/>
        <v>X</v>
      </c>
      <c r="R73" s="436" t="str">
        <f t="shared" ref="R73:R92" si="13">IF(LEFT($H73,1)=LEFT(O$3,1),"X",IF(E73=H73,"",IF(F73=4,"&lt;","")))</f>
        <v/>
      </c>
      <c r="S73" s="446" t="str">
        <f t="shared" si="7"/>
        <v>*</v>
      </c>
      <c r="T73" s="444" t="str">
        <f>SUMMARY!CZ77</f>
        <v>N/A</v>
      </c>
      <c r="V73" s="444" t="str">
        <f>SUMMARY!DA77</f>
        <v>WASP</v>
      </c>
    </row>
    <row r="74" spans="1:22" ht="72" x14ac:dyDescent="0.35">
      <c r="A74" s="196" t="str">
        <f>SUMMARY!$B$78</f>
        <v>Scotts Cove</v>
      </c>
      <c r="B74" s="210">
        <f>SUMMARY!$C$78</f>
        <v>69</v>
      </c>
      <c r="C74" s="417" t="str">
        <f>SUMMARY!CJ78</f>
        <v>simple complexity hydrodynamics</v>
      </c>
      <c r="D74" s="422">
        <f>SUMMARY!CK78</f>
        <v>1</v>
      </c>
      <c r="E74" s="417" t="str">
        <f>SUMMARY!CL78</f>
        <v>complex water quality</v>
      </c>
      <c r="F74" s="422">
        <f>SUMMARY!CM78</f>
        <v>4</v>
      </c>
      <c r="G74" s="422" t="str">
        <f>SUMMARY!CW78</f>
        <v>intermediate complexity hydrodynamics</v>
      </c>
      <c r="H74" s="422" t="str">
        <f>SUMMARY!CY78</f>
        <v>intermediate complexity water quality</v>
      </c>
      <c r="K74" s="441" t="str">
        <f>SUMMARY!$B$78</f>
        <v>Scotts Cove</v>
      </c>
      <c r="L74" s="436">
        <f>SUMMARY!$C$78</f>
        <v>69</v>
      </c>
      <c r="M74" s="432" t="str">
        <f t="shared" si="8"/>
        <v>&gt;</v>
      </c>
      <c r="N74" s="430" t="str">
        <f t="shared" si="9"/>
        <v>X</v>
      </c>
      <c r="O74" s="436" t="str">
        <f t="shared" si="10"/>
        <v/>
      </c>
      <c r="P74" s="435" t="str">
        <f t="shared" si="11"/>
        <v/>
      </c>
      <c r="Q74" s="430" t="str">
        <f t="shared" si="12"/>
        <v>X</v>
      </c>
      <c r="R74" s="436" t="str">
        <f t="shared" si="13"/>
        <v>&lt;</v>
      </c>
      <c r="S74" s="446" t="str">
        <f t="shared" si="7"/>
        <v/>
      </c>
      <c r="T74" s="444" t="str">
        <f>SUMMARY!CZ78</f>
        <v>Mid-size, moderate depth, low salinity dilution ratio, and very low sinuosity. But WEANE Factor is high and may create gradients that are not well-predicted by salinity differences. Intermediate hydrodynamics categorization is recommended over simple. Given the depth and low salinity dilution ratio, intermediate water quality categorization is recommended over complex.</v>
      </c>
      <c r="V74" s="444" t="str">
        <f>SUMMARY!DA78</f>
        <v>-</v>
      </c>
    </row>
    <row r="75" spans="1:22" ht="36" x14ac:dyDescent="0.35">
      <c r="A75" s="196" t="str">
        <f>SUMMARY!$B$79</f>
        <v>Gorham Pond</v>
      </c>
      <c r="B75" s="210">
        <f>SUMMARY!$C$79</f>
        <v>70</v>
      </c>
      <c r="C75" s="417" t="str">
        <f>SUMMARY!CJ79</f>
        <v>complex hydrodynamics</v>
      </c>
      <c r="D75" s="422">
        <f>SUMMARY!CK79</f>
        <v>3</v>
      </c>
      <c r="E75" s="417" t="str">
        <f>SUMMARY!CL79</f>
        <v>intermediate or complex water quality</v>
      </c>
      <c r="F75" s="422">
        <f>SUMMARY!CM79</f>
        <v>3</v>
      </c>
      <c r="G75" s="422" t="str">
        <f>SUMMARY!CW79</f>
        <v>intermediate complexity hydrodynamics</v>
      </c>
      <c r="H75" s="422" t="str">
        <f>SUMMARY!CY79</f>
        <v>intermediate complexity water quality</v>
      </c>
      <c r="K75" s="441" t="str">
        <f>SUMMARY!$B$79</f>
        <v>Gorham Pond</v>
      </c>
      <c r="L75" s="436">
        <f>SUMMARY!$C$79</f>
        <v>70</v>
      </c>
      <c r="M75" s="432" t="str">
        <f t="shared" si="8"/>
        <v/>
      </c>
      <c r="N75" s="430" t="str">
        <f t="shared" si="9"/>
        <v>X</v>
      </c>
      <c r="O75" s="436" t="str">
        <f t="shared" si="10"/>
        <v>&lt;</v>
      </c>
      <c r="P75" s="435" t="str">
        <f t="shared" si="11"/>
        <v/>
      </c>
      <c r="Q75" s="430" t="str">
        <f t="shared" si="12"/>
        <v>X</v>
      </c>
      <c r="R75" s="436" t="str">
        <f t="shared" si="13"/>
        <v/>
      </c>
      <c r="S75" s="446" t="str">
        <f t="shared" si="7"/>
        <v/>
      </c>
      <c r="T75" s="444" t="str">
        <f>SUMMARY!CZ79</f>
        <v>Very small and shallow, with a moderately low WEANE Factor. Based on depth, intermediate hydrodynamics categorization is recommended over complex.</v>
      </c>
      <c r="V75" s="444" t="str">
        <f>SUMMARY!DA79</f>
        <v>-</v>
      </c>
    </row>
    <row r="76" spans="1:22" x14ac:dyDescent="0.35">
      <c r="A76" s="196" t="str">
        <f>SUMMARY!$B$80</f>
        <v>Darien River</v>
      </c>
      <c r="B76" s="210">
        <f>SUMMARY!$C$80</f>
        <v>71</v>
      </c>
      <c r="C76" s="417" t="str">
        <f>SUMMARY!CJ80</f>
        <v>intermediate complexity hydrodynamics</v>
      </c>
      <c r="D76" s="422">
        <f>SUMMARY!CK80</f>
        <v>2</v>
      </c>
      <c r="E76" s="417" t="str">
        <f>SUMMARY!CL80</f>
        <v>intermediate or complex water quality</v>
      </c>
      <c r="F76" s="422">
        <f>SUMMARY!CM80</f>
        <v>3</v>
      </c>
      <c r="G76" s="422" t="str">
        <f>SUMMARY!CW80</f>
        <v>intermediate complexity hydrodynamics</v>
      </c>
      <c r="H76" s="422" t="str">
        <f>SUMMARY!CY80</f>
        <v>intermediate complexity water quality</v>
      </c>
      <c r="K76" s="441" t="str">
        <f>SUMMARY!$B$80</f>
        <v>Darien River</v>
      </c>
      <c r="L76" s="436">
        <f>SUMMARY!$C$80</f>
        <v>71</v>
      </c>
      <c r="M76" s="432" t="str">
        <f t="shared" si="8"/>
        <v/>
      </c>
      <c r="N76" s="430" t="str">
        <f t="shared" si="9"/>
        <v>X</v>
      </c>
      <c r="O76" s="436" t="str">
        <f t="shared" si="10"/>
        <v/>
      </c>
      <c r="P76" s="435" t="str">
        <f t="shared" si="11"/>
        <v/>
      </c>
      <c r="Q76" s="430" t="str">
        <f t="shared" si="12"/>
        <v>X</v>
      </c>
      <c r="R76" s="436" t="str">
        <f t="shared" si="13"/>
        <v/>
      </c>
      <c r="S76" s="446" t="str">
        <f t="shared" si="7"/>
        <v/>
      </c>
      <c r="T76" s="444" t="str">
        <f>SUMMARY!CZ80</f>
        <v>N/A</v>
      </c>
      <c r="V76" s="444" t="str">
        <f>SUMMARY!DA80</f>
        <v>-</v>
      </c>
    </row>
    <row r="77" spans="1:22" ht="29" x14ac:dyDescent="0.35">
      <c r="A77" s="196" t="str">
        <f>SUMMARY!$B$81</f>
        <v>Gorham Pond + Darien River</v>
      </c>
      <c r="B77" s="210" t="str">
        <f>SUMMARY!$C$81</f>
        <v>70-71</v>
      </c>
      <c r="C77" s="417" t="str">
        <f>SUMMARY!CJ81</f>
        <v>intermediate complexity hydrodynamics</v>
      </c>
      <c r="D77" s="422">
        <f>SUMMARY!CK81</f>
        <v>2</v>
      </c>
      <c r="E77" s="417" t="str">
        <f>SUMMARY!CL81</f>
        <v>intermediate or complex water quality</v>
      </c>
      <c r="F77" s="422">
        <f>SUMMARY!CM81</f>
        <v>3</v>
      </c>
      <c r="G77" s="422" t="str">
        <f>SUMMARY!CW81</f>
        <v>intermediate complexity hydrodynamics</v>
      </c>
      <c r="H77" s="422" t="str">
        <f>SUMMARY!CY81</f>
        <v>intermediate complexity water quality</v>
      </c>
      <c r="K77" s="441" t="str">
        <f>SUMMARY!$B$81</f>
        <v>Gorham Pond + Darien River</v>
      </c>
      <c r="L77" s="436" t="str">
        <f>SUMMARY!$C$81</f>
        <v>70-71</v>
      </c>
      <c r="M77" s="432" t="str">
        <f t="shared" si="8"/>
        <v/>
      </c>
      <c r="N77" s="430" t="str">
        <f t="shared" si="9"/>
        <v>X</v>
      </c>
      <c r="O77" s="436" t="str">
        <f t="shared" si="10"/>
        <v/>
      </c>
      <c r="P77" s="435" t="str">
        <f t="shared" si="11"/>
        <v/>
      </c>
      <c r="Q77" s="430" t="str">
        <f t="shared" si="12"/>
        <v>X</v>
      </c>
      <c r="R77" s="436" t="str">
        <f t="shared" si="13"/>
        <v/>
      </c>
      <c r="S77" s="446" t="str">
        <f t="shared" si="7"/>
        <v/>
      </c>
      <c r="T77" s="444" t="str">
        <f>SUMMARY!CZ81</f>
        <v>N/A</v>
      </c>
      <c r="V77" s="444" t="str">
        <f>SUMMARY!DA81</f>
        <v>-</v>
      </c>
    </row>
    <row r="78" spans="1:22" x14ac:dyDescent="0.35">
      <c r="A78" s="256" t="str">
        <f>SUMMARY!$B$82</f>
        <v>Holly Pond</v>
      </c>
      <c r="B78" s="257">
        <f>SUMMARY!$C$82</f>
        <v>72</v>
      </c>
      <c r="C78" s="418" t="str">
        <f>SUMMARY!CJ82</f>
        <v>intermediate complexity hydrodynamics</v>
      </c>
      <c r="D78" s="423">
        <f>SUMMARY!CK82</f>
        <v>2</v>
      </c>
      <c r="E78" s="418" t="str">
        <f>SUMMARY!CL82</f>
        <v>intermediate or complex water quality</v>
      </c>
      <c r="F78" s="423">
        <f>SUMMARY!CM82</f>
        <v>3</v>
      </c>
      <c r="G78" s="423" t="str">
        <f>SUMMARY!CW82</f>
        <v>intermediate complexity hydrodynamics</v>
      </c>
      <c r="H78" s="423" t="str">
        <f>SUMMARY!CY82</f>
        <v>intermediate complexity water quality</v>
      </c>
      <c r="K78" s="441" t="str">
        <f>SUMMARY!$B$82</f>
        <v>Holly Pond</v>
      </c>
      <c r="L78" s="436">
        <f>SUMMARY!$C$82</f>
        <v>72</v>
      </c>
      <c r="M78" s="432" t="str">
        <f t="shared" si="8"/>
        <v/>
      </c>
      <c r="N78" s="430" t="str">
        <f t="shared" si="9"/>
        <v>X</v>
      </c>
      <c r="O78" s="436" t="str">
        <f t="shared" si="10"/>
        <v/>
      </c>
      <c r="P78" s="435" t="str">
        <f t="shared" si="11"/>
        <v/>
      </c>
      <c r="Q78" s="430" t="str">
        <f t="shared" si="12"/>
        <v>X</v>
      </c>
      <c r="R78" s="436" t="str">
        <f t="shared" si="13"/>
        <v/>
      </c>
      <c r="S78" s="446" t="str">
        <f t="shared" si="7"/>
        <v/>
      </c>
      <c r="T78" s="444" t="str">
        <f>SUMMARY!CZ82</f>
        <v>N/A</v>
      </c>
      <c r="V78" s="444" t="str">
        <f>SUMMARY!DA82</f>
        <v>-</v>
      </c>
    </row>
    <row r="79" spans="1:22" x14ac:dyDescent="0.35">
      <c r="A79" s="256" t="str">
        <f>SUMMARY!$B$83</f>
        <v>Cove Harbor</v>
      </c>
      <c r="B79" s="257">
        <f>SUMMARY!$C$83</f>
        <v>73</v>
      </c>
      <c r="C79" s="418" t="str">
        <f>SUMMARY!CJ83</f>
        <v>intermediate complexity hydrodynamics</v>
      </c>
      <c r="D79" s="423">
        <f>SUMMARY!CK83</f>
        <v>2</v>
      </c>
      <c r="E79" s="418" t="str">
        <f>SUMMARY!CL83</f>
        <v>intermediate or complex water quality</v>
      </c>
      <c r="F79" s="423">
        <f>SUMMARY!CM83</f>
        <v>3</v>
      </c>
      <c r="G79" s="423" t="str">
        <f>SUMMARY!CW83</f>
        <v>intermediate complexity hydrodynamics</v>
      </c>
      <c r="H79" s="423" t="str">
        <f>SUMMARY!CY83</f>
        <v>intermediate complexity water quality</v>
      </c>
      <c r="K79" s="441" t="str">
        <f>SUMMARY!$B$83</f>
        <v>Cove Harbor</v>
      </c>
      <c r="L79" s="436">
        <f>SUMMARY!$C$83</f>
        <v>73</v>
      </c>
      <c r="M79" s="432" t="str">
        <f t="shared" si="8"/>
        <v/>
      </c>
      <c r="N79" s="430" t="str">
        <f t="shared" si="9"/>
        <v>X</v>
      </c>
      <c r="O79" s="436" t="str">
        <f t="shared" si="10"/>
        <v/>
      </c>
      <c r="P79" s="435" t="str">
        <f t="shared" si="11"/>
        <v/>
      </c>
      <c r="Q79" s="430" t="str">
        <f t="shared" si="12"/>
        <v>X</v>
      </c>
      <c r="R79" s="436" t="str">
        <f t="shared" si="13"/>
        <v/>
      </c>
      <c r="S79" s="446" t="str">
        <f t="shared" si="7"/>
        <v/>
      </c>
      <c r="T79" s="444" t="str">
        <f>SUMMARY!CZ83</f>
        <v>N/A</v>
      </c>
      <c r="V79" s="444" t="str">
        <f>SUMMARY!DA83</f>
        <v>-</v>
      </c>
    </row>
    <row r="80" spans="1:22" ht="29" x14ac:dyDescent="0.35">
      <c r="A80" s="196" t="str">
        <f>SUMMARY!$B$84</f>
        <v>Holly Pond + Cove Harbor</v>
      </c>
      <c r="B80" s="210" t="str">
        <f>SUMMARY!$C$84</f>
        <v>72-73</v>
      </c>
      <c r="C80" s="417" t="str">
        <f>SUMMARY!CJ84</f>
        <v>intermediate complexity hydrodynamics</v>
      </c>
      <c r="D80" s="422">
        <f>SUMMARY!CK84</f>
        <v>2</v>
      </c>
      <c r="E80" s="417" t="str">
        <f>SUMMARY!CL84</f>
        <v>intermediate or complex water quality</v>
      </c>
      <c r="F80" s="422">
        <f>SUMMARY!CM84</f>
        <v>3</v>
      </c>
      <c r="G80" s="422" t="str">
        <f>SUMMARY!CW84</f>
        <v>intermediate complexity hydrodynamics</v>
      </c>
      <c r="H80" s="422" t="str">
        <f>SUMMARY!CY84</f>
        <v>intermediate complexity water quality</v>
      </c>
      <c r="K80" s="441" t="str">
        <f>SUMMARY!$B$84</f>
        <v>Holly Pond + Cove Harbor</v>
      </c>
      <c r="L80" s="436" t="str">
        <f>SUMMARY!$C$84</f>
        <v>72-73</v>
      </c>
      <c r="M80" s="432" t="str">
        <f t="shared" si="8"/>
        <v/>
      </c>
      <c r="N80" s="430" t="str">
        <f t="shared" si="9"/>
        <v>X</v>
      </c>
      <c r="O80" s="436" t="str">
        <f t="shared" si="10"/>
        <v/>
      </c>
      <c r="P80" s="435" t="str">
        <f t="shared" si="11"/>
        <v/>
      </c>
      <c r="Q80" s="430" t="str">
        <f t="shared" si="12"/>
        <v>X</v>
      </c>
      <c r="R80" s="436" t="str">
        <f t="shared" si="13"/>
        <v/>
      </c>
      <c r="S80" s="446" t="str">
        <f t="shared" si="7"/>
        <v/>
      </c>
      <c r="T80" s="444" t="str">
        <f>SUMMARY!CZ84</f>
        <v>N/A</v>
      </c>
      <c r="V80" s="444" t="str">
        <f>SUMMARY!DA84</f>
        <v>-</v>
      </c>
    </row>
    <row r="81" spans="1:22" ht="67.5" customHeight="1" x14ac:dyDescent="0.35">
      <c r="A81" s="196" t="str">
        <f>SUMMARY!$B$85</f>
        <v>Wescott Cove</v>
      </c>
      <c r="B81" s="210">
        <f>SUMMARY!$C$85</f>
        <v>74</v>
      </c>
      <c r="C81" s="417" t="str">
        <f>SUMMARY!CJ85</f>
        <v>simple complexity hydrodynamics</v>
      </c>
      <c r="D81" s="422">
        <f>SUMMARY!CK85</f>
        <v>1</v>
      </c>
      <c r="E81" s="417" t="str">
        <f>SUMMARY!CL85</f>
        <v>complex water quality</v>
      </c>
      <c r="F81" s="422">
        <f>SUMMARY!CM85</f>
        <v>4</v>
      </c>
      <c r="G81" s="422" t="str">
        <f>SUMMARY!CW85</f>
        <v>intermediate complexity hydrodynamics</v>
      </c>
      <c r="H81" s="422" t="str">
        <f>SUMMARY!CY85</f>
        <v>intermediate complexity water quality</v>
      </c>
      <c r="K81" s="441" t="str">
        <f>SUMMARY!$B$85</f>
        <v>Wescott Cove</v>
      </c>
      <c r="L81" s="436">
        <f>SUMMARY!$C$85</f>
        <v>74</v>
      </c>
      <c r="M81" s="432" t="str">
        <f t="shared" si="8"/>
        <v>&gt;</v>
      </c>
      <c r="N81" s="430" t="str">
        <f t="shared" si="9"/>
        <v>X</v>
      </c>
      <c r="O81" s="436" t="str">
        <f t="shared" si="10"/>
        <v/>
      </c>
      <c r="P81" s="435" t="str">
        <f t="shared" si="11"/>
        <v/>
      </c>
      <c r="Q81" s="430" t="str">
        <f t="shared" si="12"/>
        <v>X</v>
      </c>
      <c r="R81" s="436" t="str">
        <f t="shared" si="13"/>
        <v>&lt;</v>
      </c>
      <c r="S81" s="446" t="str">
        <f t="shared" si="7"/>
        <v/>
      </c>
      <c r="T81" s="444" t="str">
        <f>SUMMARY!CZ85</f>
        <v>Mid-size and moderate depth, with a high WEANE Factor. Based on depth, size of system, and WEANE Factor, intermediate hydrodynamics categorization is recommended over simple. Given the low salinity dilution ratio and moderate depth, intermediate water quality categorization is recommended over complex.</v>
      </c>
      <c r="V81" s="444" t="str">
        <f>SUMMARY!DA85</f>
        <v>-</v>
      </c>
    </row>
    <row r="82" spans="1:22" ht="60" x14ac:dyDescent="0.35">
      <c r="A82" s="196" t="str">
        <f>SUMMARY!$B$86</f>
        <v>Stamford Harbor</v>
      </c>
      <c r="B82" s="210">
        <f>SUMMARY!$C$86</f>
        <v>75</v>
      </c>
      <c r="C82" s="417" t="str">
        <f>SUMMARY!CJ86</f>
        <v>intermediate complexity hydrodynamics</v>
      </c>
      <c r="D82" s="422">
        <f>SUMMARY!CK86</f>
        <v>2</v>
      </c>
      <c r="E82" s="417" t="str">
        <f>SUMMARY!CL86</f>
        <v>complex water quality</v>
      </c>
      <c r="F82" s="422">
        <f>SUMMARY!CM86</f>
        <v>4</v>
      </c>
      <c r="G82" s="422" t="str">
        <f>SUMMARY!CW86</f>
        <v>complex hydrodynamics</v>
      </c>
      <c r="H82" s="422" t="str">
        <f>SUMMARY!CY86</f>
        <v>complex water quality</v>
      </c>
      <c r="K82" s="441" t="str">
        <f>SUMMARY!$B$86</f>
        <v>Stamford Harbor</v>
      </c>
      <c r="L82" s="436">
        <f>SUMMARY!$C$86</f>
        <v>75</v>
      </c>
      <c r="M82" s="432" t="str">
        <f t="shared" si="8"/>
        <v/>
      </c>
      <c r="N82" s="430" t="str">
        <f t="shared" si="9"/>
        <v>&gt;</v>
      </c>
      <c r="O82" s="436" t="str">
        <f t="shared" si="10"/>
        <v>X</v>
      </c>
      <c r="P82" s="435" t="str">
        <f t="shared" si="11"/>
        <v/>
      </c>
      <c r="Q82" s="430" t="str">
        <f t="shared" si="12"/>
        <v/>
      </c>
      <c r="R82" s="436" t="str">
        <f t="shared" si="13"/>
        <v>X</v>
      </c>
      <c r="S82" s="446" t="str">
        <f t="shared" si="7"/>
        <v>*</v>
      </c>
      <c r="T82" s="444" t="str">
        <f>SUMMARY!CZ86</f>
        <v>Moderate depth and size with a high WEANE Factor may indicate more complex nutrient gradients. Complex hydrodynamics categorization is recommended over intermediate, though this embayment could potentially be modeled with an intermediate complexity hydrodynamics model.</v>
      </c>
      <c r="V82" s="444" t="str">
        <f>SUMMARY!DA86</f>
        <v>WASP</v>
      </c>
    </row>
    <row r="83" spans="1:22" ht="72" x14ac:dyDescent="0.35">
      <c r="A83" s="196" t="str">
        <f>SUMMARY!$B$87</f>
        <v>Greenwich Cove</v>
      </c>
      <c r="B83" s="210">
        <f>SUMMARY!$C$87</f>
        <v>76</v>
      </c>
      <c r="C83" s="417" t="str">
        <f>SUMMARY!CJ87</f>
        <v>simple complexity hydrodynamics</v>
      </c>
      <c r="D83" s="422">
        <f>SUMMARY!CK87</f>
        <v>1</v>
      </c>
      <c r="E83" s="417" t="str">
        <f>SUMMARY!CL87</f>
        <v>complex water quality</v>
      </c>
      <c r="F83" s="422">
        <f>SUMMARY!CM87</f>
        <v>4</v>
      </c>
      <c r="G83" s="422" t="str">
        <f>SUMMARY!CW87</f>
        <v>intermediate complexity hydrodynamics</v>
      </c>
      <c r="H83" s="422" t="str">
        <f>SUMMARY!CY87</f>
        <v>intermediate complexity water quality</v>
      </c>
      <c r="K83" s="441" t="str">
        <f>SUMMARY!$B$87</f>
        <v>Greenwich Cove</v>
      </c>
      <c r="L83" s="436">
        <f>SUMMARY!$C$87</f>
        <v>76</v>
      </c>
      <c r="M83" s="432" t="str">
        <f t="shared" si="8"/>
        <v>&gt;</v>
      </c>
      <c r="N83" s="430" t="str">
        <f t="shared" si="9"/>
        <v>X</v>
      </c>
      <c r="O83" s="436" t="str">
        <f t="shared" si="10"/>
        <v/>
      </c>
      <c r="P83" s="435" t="str">
        <f t="shared" si="11"/>
        <v/>
      </c>
      <c r="Q83" s="430" t="str">
        <f t="shared" si="12"/>
        <v>X</v>
      </c>
      <c r="R83" s="436" t="str">
        <f t="shared" si="13"/>
        <v>&lt;</v>
      </c>
      <c r="S83" s="446" t="str">
        <f t="shared" si="7"/>
        <v/>
      </c>
      <c r="T83" s="444" t="str">
        <f>SUMMARY!CZ87</f>
        <v>Mid-size and moderate depth, with a high WEANE Factor. Based on depth, size of system, and WEANE Factor, intermediate hydrodynamics categorization is recommended over simple. Given the low salinity dilution ratio and moderate depth, intermediate water quality categorization is recommended over complex.</v>
      </c>
      <c r="V83" s="444" t="str">
        <f>SUMMARY!DA87</f>
        <v>-</v>
      </c>
    </row>
    <row r="84" spans="1:22" x14ac:dyDescent="0.35">
      <c r="A84" s="196" t="str">
        <f>SUMMARY!$B$88</f>
        <v>Mianus River</v>
      </c>
      <c r="B84" s="210">
        <f>SUMMARY!$C$88</f>
        <v>77</v>
      </c>
      <c r="C84" s="417" t="str">
        <f>SUMMARY!CJ88</f>
        <v>intermediate complexity hydrodynamics</v>
      </c>
      <c r="D84" s="422">
        <f>SUMMARY!CK88</f>
        <v>2</v>
      </c>
      <c r="E84" s="417" t="str">
        <f>SUMMARY!CL88</f>
        <v>intermediate complexity water quality</v>
      </c>
      <c r="F84" s="422">
        <f>SUMMARY!CM88</f>
        <v>2</v>
      </c>
      <c r="G84" s="422" t="str">
        <f>SUMMARY!CW88</f>
        <v>intermediate complexity hydrodynamics</v>
      </c>
      <c r="H84" s="422" t="str">
        <f>SUMMARY!CY88</f>
        <v>intermediate complexity water quality</v>
      </c>
      <c r="K84" s="441" t="str">
        <f>SUMMARY!$B$88</f>
        <v>Mianus River</v>
      </c>
      <c r="L84" s="436">
        <f>SUMMARY!$C$88</f>
        <v>77</v>
      </c>
      <c r="M84" s="432" t="str">
        <f t="shared" si="8"/>
        <v/>
      </c>
      <c r="N84" s="430" t="str">
        <f t="shared" si="9"/>
        <v>X</v>
      </c>
      <c r="O84" s="436" t="str">
        <f t="shared" si="10"/>
        <v/>
      </c>
      <c r="P84" s="435" t="str">
        <f t="shared" si="11"/>
        <v/>
      </c>
      <c r="Q84" s="430" t="str">
        <f t="shared" si="12"/>
        <v>X</v>
      </c>
      <c r="R84" s="436" t="str">
        <f t="shared" si="13"/>
        <v/>
      </c>
      <c r="S84" s="446" t="str">
        <f t="shared" si="7"/>
        <v/>
      </c>
      <c r="T84" s="444" t="str">
        <f>SUMMARY!CZ88</f>
        <v>N/A</v>
      </c>
      <c r="V84" s="444" t="str">
        <f>SUMMARY!DA88</f>
        <v>-</v>
      </c>
    </row>
    <row r="85" spans="1:22" x14ac:dyDescent="0.35">
      <c r="A85" s="196" t="str">
        <f>SUMMARY!$B$89</f>
        <v>Indian Harbor</v>
      </c>
      <c r="B85" s="210">
        <f>SUMMARY!$C$89</f>
        <v>78</v>
      </c>
      <c r="C85" s="417" t="str">
        <f>SUMMARY!CJ89</f>
        <v>intermediate complexity hydrodynamics</v>
      </c>
      <c r="D85" s="422">
        <f>SUMMARY!CK89</f>
        <v>2</v>
      </c>
      <c r="E85" s="417" t="str">
        <f>SUMMARY!CL89</f>
        <v>intermediate or complex water quality</v>
      </c>
      <c r="F85" s="422">
        <f>SUMMARY!CM89</f>
        <v>3</v>
      </c>
      <c r="G85" s="422" t="str">
        <f>SUMMARY!CW89</f>
        <v>intermediate complexity hydrodynamics</v>
      </c>
      <c r="H85" s="422" t="str">
        <f>SUMMARY!CY89</f>
        <v>intermediate complexity water quality</v>
      </c>
      <c r="K85" s="441" t="str">
        <f>SUMMARY!$B$89</f>
        <v>Indian Harbor</v>
      </c>
      <c r="L85" s="436">
        <f>SUMMARY!$C$89</f>
        <v>78</v>
      </c>
      <c r="M85" s="432" t="str">
        <f t="shared" si="8"/>
        <v/>
      </c>
      <c r="N85" s="430" t="str">
        <f t="shared" si="9"/>
        <v>X</v>
      </c>
      <c r="O85" s="436" t="str">
        <f t="shared" si="10"/>
        <v/>
      </c>
      <c r="P85" s="435" t="str">
        <f t="shared" si="11"/>
        <v/>
      </c>
      <c r="Q85" s="430" t="str">
        <f t="shared" si="12"/>
        <v>X</v>
      </c>
      <c r="R85" s="436" t="str">
        <f t="shared" si="13"/>
        <v/>
      </c>
      <c r="S85" s="446" t="str">
        <f t="shared" si="7"/>
        <v/>
      </c>
      <c r="T85" s="444" t="str">
        <f>SUMMARY!CZ89</f>
        <v>N/A</v>
      </c>
      <c r="V85" s="444" t="str">
        <f>SUMMARY!DA89</f>
        <v>-</v>
      </c>
    </row>
    <row r="86" spans="1:22" ht="72" x14ac:dyDescent="0.35">
      <c r="A86" s="196" t="str">
        <f>SUMMARY!$B$90</f>
        <v>Smith Cove</v>
      </c>
      <c r="B86" s="210">
        <f>SUMMARY!$C$90</f>
        <v>79</v>
      </c>
      <c r="C86" s="417" t="str">
        <f>SUMMARY!CJ90</f>
        <v>simple complexity hydrodynamics</v>
      </c>
      <c r="D86" s="422">
        <f>SUMMARY!CK90</f>
        <v>1</v>
      </c>
      <c r="E86" s="417" t="str">
        <f>SUMMARY!CL90</f>
        <v>complex water quality</v>
      </c>
      <c r="F86" s="422">
        <f>SUMMARY!CM90</f>
        <v>4</v>
      </c>
      <c r="G86" s="422" t="str">
        <f>SUMMARY!CW90</f>
        <v>intermediate complexity hydrodynamics</v>
      </c>
      <c r="H86" s="422" t="str">
        <f>SUMMARY!CY90</f>
        <v>intermediate complexity water quality</v>
      </c>
      <c r="K86" s="441" t="str">
        <f>SUMMARY!$B$90</f>
        <v>Smith Cove</v>
      </c>
      <c r="L86" s="436">
        <f>SUMMARY!$C$90</f>
        <v>79</v>
      </c>
      <c r="M86" s="432" t="str">
        <f t="shared" si="8"/>
        <v>&gt;</v>
      </c>
      <c r="N86" s="430" t="str">
        <f t="shared" si="9"/>
        <v>X</v>
      </c>
      <c r="O86" s="436" t="str">
        <f t="shared" si="10"/>
        <v/>
      </c>
      <c r="P86" s="435" t="str">
        <f t="shared" si="11"/>
        <v/>
      </c>
      <c r="Q86" s="430" t="str">
        <f t="shared" si="12"/>
        <v>X</v>
      </c>
      <c r="R86" s="436" t="str">
        <f t="shared" si="13"/>
        <v>&lt;</v>
      </c>
      <c r="S86" s="446" t="str">
        <f t="shared" si="7"/>
        <v/>
      </c>
      <c r="T86" s="444" t="str">
        <f>SUMMARY!CZ90</f>
        <v>Very small and shallow. A high WEANE Factor indicates that nutrient gradients may exist in the absence of salinity gradients. Based on WEANE Factor, intermediate hydrodynamics categorization is recommended over simple. Given the very small size and shallow depth, intermediate water quality categorization is recommended over complex.</v>
      </c>
      <c r="V86" s="444" t="str">
        <f>SUMMARY!DA90</f>
        <v>-</v>
      </c>
    </row>
    <row r="87" spans="1:22" ht="29" x14ac:dyDescent="0.35">
      <c r="A87" s="196" t="str">
        <f>SUMMARY!$B$91</f>
        <v>Greenwich Harbor</v>
      </c>
      <c r="B87" s="210">
        <f>SUMMARY!$C$91</f>
        <v>80</v>
      </c>
      <c r="C87" s="417" t="str">
        <f>SUMMARY!CJ91</f>
        <v>intermediate complexity hydrodynamics</v>
      </c>
      <c r="D87" s="422">
        <f>SUMMARY!CK91</f>
        <v>2</v>
      </c>
      <c r="E87" s="417" t="str">
        <f>SUMMARY!CL91</f>
        <v>intermediate or complex water quality</v>
      </c>
      <c r="F87" s="422">
        <f>SUMMARY!CM91</f>
        <v>3</v>
      </c>
      <c r="G87" s="422" t="str">
        <f>SUMMARY!CW91</f>
        <v>intermediate complexity hydrodynamics</v>
      </c>
      <c r="H87" s="422" t="str">
        <f>SUMMARY!CY91</f>
        <v>intermediate complexity water quality</v>
      </c>
      <c r="K87" s="441" t="str">
        <f>SUMMARY!$B$91</f>
        <v>Greenwich Harbor</v>
      </c>
      <c r="L87" s="436">
        <f>SUMMARY!$C$91</f>
        <v>80</v>
      </c>
      <c r="M87" s="432" t="str">
        <f t="shared" si="8"/>
        <v/>
      </c>
      <c r="N87" s="430" t="str">
        <f t="shared" si="9"/>
        <v>X</v>
      </c>
      <c r="O87" s="436" t="str">
        <f t="shared" si="10"/>
        <v/>
      </c>
      <c r="P87" s="435" t="str">
        <f t="shared" si="11"/>
        <v/>
      </c>
      <c r="Q87" s="430" t="str">
        <f t="shared" si="12"/>
        <v>X</v>
      </c>
      <c r="R87" s="436" t="str">
        <f t="shared" si="13"/>
        <v/>
      </c>
      <c r="S87" s="446" t="str">
        <f t="shared" si="7"/>
        <v/>
      </c>
      <c r="T87" s="444" t="str">
        <f>SUMMARY!CZ91</f>
        <v>N/A</v>
      </c>
      <c r="V87" s="444" t="str">
        <f>SUMMARY!DA91</f>
        <v>-</v>
      </c>
    </row>
    <row r="88" spans="1:22" x14ac:dyDescent="0.35">
      <c r="A88" s="196" t="str">
        <f>SUMMARY!$B$92</f>
        <v>Captain Harbor</v>
      </c>
      <c r="B88" s="210">
        <f>SUMMARY!$C$92</f>
        <v>81</v>
      </c>
      <c r="C88" s="417" t="str">
        <f>SUMMARY!CJ92</f>
        <v>intermediate complexity hydrodynamics</v>
      </c>
      <c r="D88" s="422">
        <f>SUMMARY!CK92</f>
        <v>2</v>
      </c>
      <c r="E88" s="417" t="str">
        <f>SUMMARY!CL92</f>
        <v>intermediate or complex water quality</v>
      </c>
      <c r="F88" s="422">
        <f>SUMMARY!CM92</f>
        <v>3</v>
      </c>
      <c r="G88" s="422" t="str">
        <f>SUMMARY!CW92</f>
        <v>intermediate complexity hydrodynamics</v>
      </c>
      <c r="H88" s="422" t="str">
        <f>SUMMARY!CY92</f>
        <v>intermediate complexity water quality</v>
      </c>
      <c r="K88" s="441" t="str">
        <f>SUMMARY!$B$92</f>
        <v>Captain Harbor</v>
      </c>
      <c r="L88" s="436">
        <f>SUMMARY!$C$92</f>
        <v>81</v>
      </c>
      <c r="M88" s="432" t="str">
        <f t="shared" si="8"/>
        <v/>
      </c>
      <c r="N88" s="430" t="str">
        <f t="shared" si="9"/>
        <v>X</v>
      </c>
      <c r="O88" s="436" t="str">
        <f t="shared" si="10"/>
        <v/>
      </c>
      <c r="P88" s="435" t="str">
        <f t="shared" si="11"/>
        <v/>
      </c>
      <c r="Q88" s="430" t="str">
        <f t="shared" si="12"/>
        <v>X</v>
      </c>
      <c r="R88" s="436" t="str">
        <f t="shared" si="13"/>
        <v/>
      </c>
      <c r="S88" s="446" t="str">
        <f t="shared" si="7"/>
        <v/>
      </c>
      <c r="T88" s="444" t="str">
        <f>SUMMARY!CZ92</f>
        <v>N/A</v>
      </c>
      <c r="V88" s="444" t="str">
        <f>SUMMARY!DA92</f>
        <v>-</v>
      </c>
    </row>
    <row r="89" spans="1:22" ht="60" x14ac:dyDescent="0.35">
      <c r="A89" s="256" t="str">
        <f>SUMMARY!$B$93</f>
        <v>Byram River</v>
      </c>
      <c r="B89" s="257">
        <f>SUMMARY!$C$93</f>
        <v>82</v>
      </c>
      <c r="C89" s="418" t="str">
        <f>SUMMARY!CJ93</f>
        <v>complex hydrodynamics</v>
      </c>
      <c r="D89" s="423">
        <f>SUMMARY!CK93</f>
        <v>3</v>
      </c>
      <c r="E89" s="418" t="str">
        <f>SUMMARY!CL93</f>
        <v>intermediate complexity water quality</v>
      </c>
      <c r="F89" s="423">
        <f>SUMMARY!CM93</f>
        <v>2</v>
      </c>
      <c r="G89" s="423" t="str">
        <f>SUMMARY!CW93</f>
        <v>intermediate complexity hydrodynamics</v>
      </c>
      <c r="H89" s="423" t="str">
        <f>SUMMARY!CY93</f>
        <v>intermediate complexity water quality</v>
      </c>
      <c r="K89" s="441" t="str">
        <f>SUMMARY!$B$93</f>
        <v>Byram River</v>
      </c>
      <c r="L89" s="436">
        <f>SUMMARY!$C$93</f>
        <v>82</v>
      </c>
      <c r="M89" s="432" t="str">
        <f t="shared" si="8"/>
        <v/>
      </c>
      <c r="N89" s="430" t="str">
        <f t="shared" si="9"/>
        <v>X</v>
      </c>
      <c r="O89" s="436" t="str">
        <f t="shared" si="10"/>
        <v>&lt;</v>
      </c>
      <c r="P89" s="435" t="str">
        <f t="shared" si="11"/>
        <v/>
      </c>
      <c r="Q89" s="430" t="str">
        <f t="shared" si="12"/>
        <v>X</v>
      </c>
      <c r="R89" s="436" t="str">
        <f t="shared" si="13"/>
        <v/>
      </c>
      <c r="S89" s="446" t="str">
        <f t="shared" si="7"/>
        <v>*</v>
      </c>
      <c r="T89" s="444" t="str">
        <f>SUMMARY!CZ93</f>
        <v>Very small and shallow with a high salinity dilution ratio and very high sinuosity. WEANE Factor is intermediate but has a point source; horizontal nutrient gradients are likely to be present even though the system is small. Based on depth, intermediate hydrodynamics categorization is recommended over complex.</v>
      </c>
      <c r="V89" s="444" t="str">
        <f>SUMMARY!DA93</f>
        <v>WASP</v>
      </c>
    </row>
    <row r="90" spans="1:22" x14ac:dyDescent="0.35">
      <c r="A90" s="256" t="str">
        <f>SUMMARY!$B$94</f>
        <v>Kirby Pond, NY</v>
      </c>
      <c r="B90" s="257">
        <f>SUMMARY!$C$94</f>
        <v>83</v>
      </c>
      <c r="C90" s="418" t="str">
        <f>SUMMARY!CJ94</f>
        <v>intermediate complexity hydrodynamics</v>
      </c>
      <c r="D90" s="423">
        <f>SUMMARY!CK94</f>
        <v>2</v>
      </c>
      <c r="E90" s="418" t="str">
        <f>SUMMARY!CL94</f>
        <v>intermediate complexity water quality</v>
      </c>
      <c r="F90" s="423">
        <f>SUMMARY!CM94</f>
        <v>2</v>
      </c>
      <c r="G90" s="423" t="str">
        <f>SUMMARY!CW94</f>
        <v>intermediate complexity hydrodynamics</v>
      </c>
      <c r="H90" s="423" t="str">
        <f>SUMMARY!CY94</f>
        <v>intermediate complexity water quality</v>
      </c>
      <c r="K90" s="441" t="str">
        <f>SUMMARY!$B$94</f>
        <v>Kirby Pond, NY</v>
      </c>
      <c r="L90" s="436">
        <f>SUMMARY!$C$94</f>
        <v>83</v>
      </c>
      <c r="M90" s="432" t="str">
        <f t="shared" si="8"/>
        <v/>
      </c>
      <c r="N90" s="430" t="str">
        <f t="shared" si="9"/>
        <v>X</v>
      </c>
      <c r="O90" s="436" t="str">
        <f t="shared" si="10"/>
        <v/>
      </c>
      <c r="P90" s="435" t="str">
        <f t="shared" si="11"/>
        <v/>
      </c>
      <c r="Q90" s="430" t="str">
        <f t="shared" si="12"/>
        <v>X</v>
      </c>
      <c r="R90" s="436" t="str">
        <f t="shared" si="13"/>
        <v/>
      </c>
      <c r="S90" s="446" t="str">
        <f t="shared" si="7"/>
        <v>*</v>
      </c>
      <c r="T90" s="444" t="str">
        <f>SUMMARY!CZ94</f>
        <v>N/A</v>
      </c>
      <c r="V90" s="444" t="str">
        <f>SUMMARY!DA94</f>
        <v>WASP</v>
      </c>
    </row>
    <row r="91" spans="1:22" ht="48" x14ac:dyDescent="0.35">
      <c r="A91" s="256" t="str">
        <f>SUMMARY!$B$95</f>
        <v>Playland Lake, NY</v>
      </c>
      <c r="B91" s="257">
        <f>SUMMARY!$C$95</f>
        <v>84</v>
      </c>
      <c r="C91" s="418" t="str">
        <f>SUMMARY!CJ95</f>
        <v>simple complexity hydrodynamics</v>
      </c>
      <c r="D91" s="423">
        <f>SUMMARY!CK95</f>
        <v>1</v>
      </c>
      <c r="E91" s="418" t="str">
        <f>SUMMARY!CL95</f>
        <v>intermediate or complex water quality</v>
      </c>
      <c r="F91" s="423">
        <f>SUMMARY!CM95</f>
        <v>3</v>
      </c>
      <c r="G91" s="423" t="str">
        <f>SUMMARY!CW95</f>
        <v>intermediate complexity hydrodynamics</v>
      </c>
      <c r="H91" s="423" t="str">
        <f>SUMMARY!CY95</f>
        <v>intermediate complexity water quality</v>
      </c>
      <c r="K91" s="441" t="str">
        <f>SUMMARY!$B$95</f>
        <v>Playland Lake, NY</v>
      </c>
      <c r="L91" s="436">
        <f>SUMMARY!$C$95</f>
        <v>84</v>
      </c>
      <c r="M91" s="432" t="str">
        <f t="shared" si="8"/>
        <v>&gt;</v>
      </c>
      <c r="N91" s="430" t="str">
        <f t="shared" si="9"/>
        <v>X</v>
      </c>
      <c r="O91" s="436" t="str">
        <f t="shared" si="10"/>
        <v/>
      </c>
      <c r="P91" s="435" t="str">
        <f t="shared" si="11"/>
        <v/>
      </c>
      <c r="Q91" s="430" t="str">
        <f t="shared" si="12"/>
        <v>X</v>
      </c>
      <c r="R91" s="436" t="str">
        <f t="shared" si="13"/>
        <v/>
      </c>
      <c r="S91" s="446" t="str">
        <f t="shared" si="7"/>
        <v/>
      </c>
      <c r="T91" s="444" t="str">
        <f>SUMMARY!CZ95</f>
        <v>Small and shallow but with a WEANE Factor at the higher end of the intermediate/complex range. Gradients unrelated to salinity may develop. Based on  WEANE Factor, intermediate hydrodynamics categorization is recommended over simple.</v>
      </c>
      <c r="V91" s="444" t="str">
        <f>SUMMARY!DA95</f>
        <v>-</v>
      </c>
    </row>
    <row r="92" spans="1:22" ht="29.5" thickBot="1" x14ac:dyDescent="0.4">
      <c r="A92" s="196" t="str">
        <f>SUMMARY!$B$96</f>
        <v>Byram R. + Kirby P. + Playland L.</v>
      </c>
      <c r="B92" s="210" t="str">
        <f>SUMMARY!$C$96</f>
        <v>82-83-84</v>
      </c>
      <c r="C92" s="417" t="str">
        <f>SUMMARY!CJ96</f>
        <v>intermediate complexity hydrodynamics</v>
      </c>
      <c r="D92" s="422">
        <f>SUMMARY!CK96</f>
        <v>2</v>
      </c>
      <c r="E92" s="417" t="str">
        <f>SUMMARY!CL96</f>
        <v>intermediate complexity water quality</v>
      </c>
      <c r="F92" s="422">
        <f>SUMMARY!CM96</f>
        <v>2</v>
      </c>
      <c r="G92" s="422" t="str">
        <f>SUMMARY!CW96</f>
        <v>intermediate complexity hydrodynamics</v>
      </c>
      <c r="H92" s="422" t="str">
        <f>SUMMARY!CY96</f>
        <v>intermediate complexity water quality</v>
      </c>
      <c r="K92" s="443" t="str">
        <f>SUMMARY!$B$96</f>
        <v>Byram R. + Kirby P. + Playland L.</v>
      </c>
      <c r="L92" s="439" t="str">
        <f>SUMMARY!$C$96</f>
        <v>82-83-84</v>
      </c>
      <c r="M92" s="440" t="str">
        <f t="shared" si="8"/>
        <v/>
      </c>
      <c r="N92" s="438" t="str">
        <f t="shared" si="9"/>
        <v>X</v>
      </c>
      <c r="O92" s="439" t="str">
        <f t="shared" si="10"/>
        <v/>
      </c>
      <c r="P92" s="437" t="str">
        <f t="shared" si="11"/>
        <v/>
      </c>
      <c r="Q92" s="438" t="str">
        <f t="shared" si="12"/>
        <v>X</v>
      </c>
      <c r="R92" s="439" t="str">
        <f t="shared" si="13"/>
        <v/>
      </c>
      <c r="S92" s="447" t="str">
        <f t="shared" si="7"/>
        <v>*</v>
      </c>
      <c r="T92" s="445" t="str">
        <f>SUMMARY!CZ96</f>
        <v>N/A</v>
      </c>
      <c r="V92" s="445" t="str">
        <f>SUMMARY!DA96</f>
        <v>WASP</v>
      </c>
    </row>
    <row r="93" spans="1:22" x14ac:dyDescent="0.35">
      <c r="B93" s="226"/>
      <c r="L93" s="427"/>
    </row>
    <row r="94" spans="1:22" x14ac:dyDescent="0.35">
      <c r="B94" s="226"/>
      <c r="L94" s="427"/>
    </row>
    <row r="95" spans="1:22" x14ac:dyDescent="0.35">
      <c r="B95" s="226"/>
      <c r="L95" s="427"/>
    </row>
    <row r="96" spans="1:22" x14ac:dyDescent="0.35">
      <c r="B96" s="226"/>
      <c r="L96" s="427"/>
    </row>
    <row r="97" spans="2:12" x14ac:dyDescent="0.35">
      <c r="B97" s="226"/>
      <c r="L97" s="427"/>
    </row>
    <row r="98" spans="2:12" x14ac:dyDescent="0.35">
      <c r="B98" s="226"/>
      <c r="L98" s="427"/>
    </row>
    <row r="99" spans="2:12" x14ac:dyDescent="0.35">
      <c r="B99" s="226"/>
      <c r="L99" s="427"/>
    </row>
    <row r="100" spans="2:12" x14ac:dyDescent="0.35">
      <c r="B100" s="226"/>
      <c r="L100" s="427"/>
    </row>
    <row r="101" spans="2:12" x14ac:dyDescent="0.35">
      <c r="B101" s="226"/>
      <c r="L101" s="427"/>
    </row>
    <row r="102" spans="2:12" x14ac:dyDescent="0.35">
      <c r="B102" s="226"/>
      <c r="L102" s="427"/>
    </row>
    <row r="103" spans="2:12" x14ac:dyDescent="0.35">
      <c r="B103" s="226"/>
      <c r="L103" s="427"/>
    </row>
    <row r="104" spans="2:12" x14ac:dyDescent="0.35">
      <c r="B104" s="226"/>
      <c r="L104" s="427"/>
    </row>
    <row r="105" spans="2:12" x14ac:dyDescent="0.35">
      <c r="B105" s="226"/>
      <c r="L105" s="427"/>
    </row>
    <row r="106" spans="2:12" x14ac:dyDescent="0.35">
      <c r="B106" s="226"/>
      <c r="L106" s="427"/>
    </row>
    <row r="107" spans="2:12" x14ac:dyDescent="0.35">
      <c r="B107" s="226"/>
      <c r="L107" s="427"/>
    </row>
    <row r="108" spans="2:12" x14ac:dyDescent="0.35">
      <c r="B108" s="226"/>
      <c r="L108" s="427"/>
    </row>
    <row r="109" spans="2:12" x14ac:dyDescent="0.35">
      <c r="B109" s="226"/>
      <c r="L109" s="427"/>
    </row>
    <row r="110" spans="2:12" x14ac:dyDescent="0.35">
      <c r="B110" s="226"/>
      <c r="L110" s="427"/>
    </row>
    <row r="111" spans="2:12" x14ac:dyDescent="0.35">
      <c r="B111" s="226"/>
      <c r="L111" s="427"/>
    </row>
    <row r="112" spans="2:12" x14ac:dyDescent="0.35">
      <c r="B112" s="226"/>
      <c r="L112" s="427"/>
    </row>
    <row r="113" spans="2:12" x14ac:dyDescent="0.35">
      <c r="B113" s="226"/>
      <c r="L113" s="427"/>
    </row>
    <row r="114" spans="2:12" x14ac:dyDescent="0.35">
      <c r="B114" s="226"/>
      <c r="L114" s="427"/>
    </row>
    <row r="115" spans="2:12" x14ac:dyDescent="0.35">
      <c r="B115" s="226"/>
      <c r="L115" s="427"/>
    </row>
    <row r="116" spans="2:12" x14ac:dyDescent="0.35">
      <c r="B116" s="226"/>
      <c r="L116" s="427"/>
    </row>
    <row r="117" spans="2:12" x14ac:dyDescent="0.35">
      <c r="B117" s="226"/>
      <c r="L117" s="427"/>
    </row>
    <row r="118" spans="2:12" x14ac:dyDescent="0.35">
      <c r="B118" s="226"/>
      <c r="L118" s="427"/>
    </row>
    <row r="119" spans="2:12" x14ac:dyDescent="0.35">
      <c r="B119" s="226"/>
      <c r="L119" s="427"/>
    </row>
    <row r="120" spans="2:12" x14ac:dyDescent="0.35">
      <c r="B120" s="226"/>
      <c r="L120" s="427"/>
    </row>
    <row r="121" spans="2:12" x14ac:dyDescent="0.35">
      <c r="B121" s="226"/>
      <c r="L121" s="427"/>
    </row>
    <row r="122" spans="2:12" x14ac:dyDescent="0.35">
      <c r="B122" s="226"/>
      <c r="L122" s="427"/>
    </row>
    <row r="123" spans="2:12" x14ac:dyDescent="0.35">
      <c r="B123" s="226"/>
      <c r="L123" s="427"/>
    </row>
  </sheetData>
  <mergeCells count="7">
    <mergeCell ref="V2:V3"/>
    <mergeCell ref="M2:O2"/>
    <mergeCell ref="P2:R2"/>
    <mergeCell ref="K2:K3"/>
    <mergeCell ref="L2:L3"/>
    <mergeCell ref="T2:T3"/>
    <mergeCell ref="S2:S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16"/>
  <sheetViews>
    <sheetView workbookViewId="0"/>
  </sheetViews>
  <sheetFormatPr defaultRowHeight="13" x14ac:dyDescent="0.3"/>
  <cols>
    <col min="1" max="1" width="24.90625" style="142" customWidth="1"/>
    <col min="2" max="2" width="7.453125" style="146" customWidth="1"/>
    <col min="3" max="5" width="13.08984375" style="147" customWidth="1"/>
    <col min="6" max="6" width="26.26953125" style="300" bestFit="1" customWidth="1"/>
    <col min="7" max="16384" width="8.7265625" style="141"/>
  </cols>
  <sheetData>
    <row r="1" spans="1:6" ht="78" x14ac:dyDescent="0.3">
      <c r="A1" s="183"/>
      <c r="B1" s="184" t="s">
        <v>0</v>
      </c>
      <c r="C1" s="184" t="s">
        <v>529</v>
      </c>
      <c r="D1" s="184" t="s">
        <v>530</v>
      </c>
      <c r="E1" s="184" t="s">
        <v>531</v>
      </c>
      <c r="F1" s="184" t="s">
        <v>405</v>
      </c>
    </row>
    <row r="2" spans="1:6" x14ac:dyDescent="0.3">
      <c r="A2" s="180" t="str">
        <f>SUMMARY!B4</f>
        <v>Pawcatuck River, CT &amp; RI</v>
      </c>
      <c r="B2" s="181">
        <f>SUMMARY!C4</f>
        <v>1</v>
      </c>
      <c r="C2" s="182">
        <f>SUMMARY!AN4</f>
        <v>0.96969696969696995</v>
      </c>
      <c r="D2" s="182">
        <f>SUMMARY!AO4</f>
        <v>0.63636363636363602</v>
      </c>
      <c r="E2" s="182">
        <f>SUMMARY!AP4</f>
        <v>0.35606060606060602</v>
      </c>
      <c r="F2" s="297" t="str">
        <f>SUMMARY!AR4</f>
        <v>marginally possible now</v>
      </c>
    </row>
    <row r="3" spans="1:6" ht="26" x14ac:dyDescent="0.3">
      <c r="A3" s="140" t="str">
        <f>SUMMARY!B5</f>
        <v>Little Narragansett Bay</v>
      </c>
      <c r="B3" s="139">
        <f>SUMMARY!C5</f>
        <v>2</v>
      </c>
      <c r="C3" s="179">
        <f>SUMMARY!AN5</f>
        <v>1</v>
      </c>
      <c r="D3" s="179">
        <f>SUMMARY!AO5</f>
        <v>0.52941176470588203</v>
      </c>
      <c r="E3" s="179">
        <f>SUMMARY!AP5</f>
        <v>0.22689075630252101</v>
      </c>
      <c r="F3" s="298" t="str">
        <f>SUMMARY!AR5</f>
        <v>not mapped in 2017, but field verified by another source</v>
      </c>
    </row>
    <row r="4" spans="1:6" x14ac:dyDescent="0.3">
      <c r="A4" s="140" t="str">
        <f>SUMMARY!B6</f>
        <v>Wequetequock Cove</v>
      </c>
      <c r="B4" s="139">
        <f>SUMMARY!C6</f>
        <v>3</v>
      </c>
      <c r="C4" s="179">
        <f>SUMMARY!AN6</f>
        <v>1</v>
      </c>
      <c r="D4" s="179">
        <f>SUMMARY!AO6</f>
        <v>0.58064516129032295</v>
      </c>
      <c r="E4" s="179">
        <f>SUMMARY!AP6</f>
        <v>0.25806451612903197</v>
      </c>
      <c r="F4" s="298" t="str">
        <f>SUMMARY!AR6</f>
        <v>possible if water clarity improves</v>
      </c>
    </row>
    <row r="5" spans="1:6" x14ac:dyDescent="0.3">
      <c r="A5" s="140" t="str">
        <f>SUMMARY!B8</f>
        <v>Quanaduck Cove</v>
      </c>
      <c r="B5" s="139">
        <f>SUMMARY!C8</f>
        <v>4</v>
      </c>
      <c r="C5" s="179">
        <f>SUMMARY!AN8</f>
        <v>1.0000106401089499</v>
      </c>
      <c r="D5" s="179">
        <f>SUMMARY!AO8</f>
        <v>1.0000106401089499</v>
      </c>
      <c r="E5" s="179">
        <f>SUMMARY!AP8</f>
        <v>1.0000106401089499</v>
      </c>
      <c r="F5" s="298" t="str">
        <f>SUMMARY!AR8</f>
        <v>unlikely, too shallow</v>
      </c>
    </row>
    <row r="6" spans="1:6" ht="26" x14ac:dyDescent="0.3">
      <c r="A6" s="140" t="str">
        <f>SUMMARY!B9</f>
        <v>Stonington Harbor</v>
      </c>
      <c r="B6" s="139">
        <f>SUMMARY!C9</f>
        <v>5</v>
      </c>
      <c r="C6" s="179">
        <f>SUMMARY!AN9</f>
        <v>1</v>
      </c>
      <c r="D6" s="179">
        <f>SUMMARY!AO9</f>
        <v>0.55208333333333304</v>
      </c>
      <c r="E6" s="179">
        <f>SUMMARY!AP9</f>
        <v>0.44791666666666702</v>
      </c>
      <c r="F6" s="298" t="str">
        <f>SUMMARY!AR9</f>
        <v>mapped as present but only partially field verified</v>
      </c>
    </row>
    <row r="7" spans="1:6" ht="26" x14ac:dyDescent="0.3">
      <c r="A7" s="140" t="str">
        <f>SUMMARY!B11</f>
        <v>Quiambog Cove</v>
      </c>
      <c r="B7" s="139">
        <f>SUMMARY!C11</f>
        <v>6</v>
      </c>
      <c r="C7" s="179">
        <f>SUMMARY!AN11</f>
        <v>1</v>
      </c>
      <c r="D7" s="179">
        <f>SUMMARY!AO11</f>
        <v>0.875</v>
      </c>
      <c r="E7" s="179">
        <f>SUMMARY!AP11</f>
        <v>0.625</v>
      </c>
      <c r="F7" s="298" t="str">
        <f>SUMMARY!AR11</f>
        <v>mapped as present but not field verified</v>
      </c>
    </row>
    <row r="8" spans="1:6" x14ac:dyDescent="0.3">
      <c r="A8" s="140" t="str">
        <f>SUMMARY!B12</f>
        <v>Wilcox Cove</v>
      </c>
      <c r="B8" s="139">
        <f>SUMMARY!C12</f>
        <v>7</v>
      </c>
      <c r="C8" s="179">
        <f>SUMMARY!AN12</f>
        <v>1</v>
      </c>
      <c r="D8" s="179">
        <f>SUMMARY!AO12</f>
        <v>1</v>
      </c>
      <c r="E8" s="179">
        <f>SUMMARY!AP12</f>
        <v>1</v>
      </c>
      <c r="F8" s="298" t="str">
        <f>SUMMARY!AR12</f>
        <v>unlikely, too shallow</v>
      </c>
    </row>
    <row r="9" spans="1:6" x14ac:dyDescent="0.3">
      <c r="A9" s="140" t="str">
        <f>SUMMARY!B13</f>
        <v>Williams Cove</v>
      </c>
      <c r="B9" s="139">
        <f>SUMMARY!C13</f>
        <v>8</v>
      </c>
      <c r="C9" s="179">
        <f>SUMMARY!AN13</f>
        <v>1</v>
      </c>
      <c r="D9" s="179">
        <f>SUMMARY!AO13</f>
        <v>1</v>
      </c>
      <c r="E9" s="179">
        <f>SUMMARY!AP13</f>
        <v>0.75</v>
      </c>
      <c r="F9" s="298" t="str">
        <f>SUMMARY!AR13</f>
        <v>unlikely, too shallow</v>
      </c>
    </row>
    <row r="10" spans="1:6" x14ac:dyDescent="0.3">
      <c r="A10" s="140" t="str">
        <f>SUMMARY!B14</f>
        <v>Mystic River</v>
      </c>
      <c r="B10" s="139">
        <f>SUMMARY!C14</f>
        <v>9</v>
      </c>
      <c r="C10" s="179">
        <f>SUMMARY!AN14</f>
        <v>1</v>
      </c>
      <c r="D10" s="179">
        <f>SUMMARY!AO14</f>
        <v>0.8</v>
      </c>
      <c r="E10" s="179">
        <f>SUMMARY!AP14</f>
        <v>0.58333333333333304</v>
      </c>
      <c r="F10" s="298" t="str">
        <f>SUMMARY!AR14</f>
        <v>marginally possible now</v>
      </c>
    </row>
    <row r="11" spans="1:6" ht="26" x14ac:dyDescent="0.3">
      <c r="A11" s="140" t="str">
        <f>SUMMARY!B15</f>
        <v>Bebee Cove</v>
      </c>
      <c r="B11" s="139">
        <f>SUMMARY!C15</f>
        <v>10</v>
      </c>
      <c r="C11" s="179">
        <f>SUMMARY!AN15</f>
        <v>1</v>
      </c>
      <c r="D11" s="179">
        <f>SUMMARY!AO15</f>
        <v>0.875</v>
      </c>
      <c r="E11" s="179">
        <f>SUMMARY!AP15</f>
        <v>0.75</v>
      </c>
      <c r="F11" s="298" t="str">
        <f>SUMMARY!AR15</f>
        <v>not mapped in 2017, but field verified by another source</v>
      </c>
    </row>
    <row r="12" spans="1:6" x14ac:dyDescent="0.3">
      <c r="A12" s="140" t="str">
        <f>SUMMARY!B17</f>
        <v>West Cove</v>
      </c>
      <c r="B12" s="139">
        <f>SUMMARY!C17</f>
        <v>11</v>
      </c>
      <c r="C12" s="179">
        <f>SUMMARY!AN17</f>
        <v>1</v>
      </c>
      <c r="D12" s="179">
        <f>SUMMARY!AO17</f>
        <v>0</v>
      </c>
      <c r="E12" s="179">
        <f>SUMMARY!AP17</f>
        <v>0</v>
      </c>
      <c r="F12" s="298" t="str">
        <f>SUMMARY!AR17</f>
        <v>possible if water clarity improves</v>
      </c>
    </row>
    <row r="13" spans="1:6" x14ac:dyDescent="0.3">
      <c r="A13" s="140" t="str">
        <f>SUMMARY!B18</f>
        <v>Palmer Cove</v>
      </c>
      <c r="B13" s="139">
        <f>SUMMARY!C18</f>
        <v>12</v>
      </c>
      <c r="C13" s="179">
        <f>SUMMARY!AN18</f>
        <v>1.00000166792595</v>
      </c>
      <c r="D13" s="179">
        <f>SUMMARY!AO18</f>
        <v>0.97994576814585899</v>
      </c>
      <c r="E13" s="179">
        <f>SUMMARY!AP18</f>
        <v>0.799442670125035</v>
      </c>
      <c r="F13" s="298" t="str">
        <f>SUMMARY!AR18</f>
        <v>marginally possible now</v>
      </c>
    </row>
    <row r="14" spans="1:6" x14ac:dyDescent="0.3">
      <c r="A14" s="140" t="str">
        <f>SUMMARY!B19</f>
        <v>Venetian Harbor</v>
      </c>
      <c r="B14" s="139">
        <f>SUMMARY!C19</f>
        <v>13</v>
      </c>
      <c r="C14" s="179">
        <f>SUMMARY!AN19</f>
        <v>1</v>
      </c>
      <c r="D14" s="179">
        <f>SUMMARY!AO19</f>
        <v>0.42857142857142899</v>
      </c>
      <c r="E14" s="179">
        <f>SUMMARY!AP19</f>
        <v>0.14285714285714299</v>
      </c>
      <c r="F14" s="298" t="str">
        <f>SUMMARY!AR19</f>
        <v>marginally possible now</v>
      </c>
    </row>
    <row r="15" spans="1:6" ht="26" x14ac:dyDescent="0.3">
      <c r="A15" s="140" t="str">
        <f>SUMMARY!B20</f>
        <v>Mumford Cove</v>
      </c>
      <c r="B15" s="139">
        <f>SUMMARY!C20</f>
        <v>14</v>
      </c>
      <c r="C15" s="179">
        <f>SUMMARY!AN20</f>
        <v>1</v>
      </c>
      <c r="D15" s="179">
        <f>SUMMARY!AO20</f>
        <v>0.61111111111111105</v>
      </c>
      <c r="E15" s="179">
        <f>SUMMARY!AP20</f>
        <v>0.47222222222222199</v>
      </c>
      <c r="F15" s="298" t="str">
        <f>SUMMARY!AR20</f>
        <v>mapped as present but not field verified</v>
      </c>
    </row>
    <row r="16" spans="1:6" x14ac:dyDescent="0.3">
      <c r="A16" s="140" t="str">
        <f>SUMMARY!B21</f>
        <v>Poquonock River</v>
      </c>
      <c r="B16" s="139">
        <f>SUMMARY!C21</f>
        <v>15</v>
      </c>
      <c r="C16" s="179">
        <f>SUMMARY!AN21</f>
        <v>1</v>
      </c>
      <c r="D16" s="179">
        <f>SUMMARY!AO21</f>
        <v>0.640625</v>
      </c>
      <c r="E16" s="179">
        <f>SUMMARY!AP21</f>
        <v>0.4375</v>
      </c>
      <c r="F16" s="298" t="str">
        <f>SUMMARY!AR21</f>
        <v>marginally possible now</v>
      </c>
    </row>
    <row r="17" spans="1:6" x14ac:dyDescent="0.3">
      <c r="A17" s="140" t="str">
        <f>SUMMARY!B22</f>
        <v>Baker Cove</v>
      </c>
      <c r="B17" s="139">
        <f>SUMMARY!C22</f>
        <v>16</v>
      </c>
      <c r="C17" s="179">
        <f>SUMMARY!AN22</f>
        <v>1</v>
      </c>
      <c r="D17" s="179">
        <f>SUMMARY!AO22</f>
        <v>0.83371239799579899</v>
      </c>
      <c r="E17" s="179">
        <f>SUMMARY!AP22</f>
        <v>0.72681322527881198</v>
      </c>
      <c r="F17" s="298" t="str">
        <f>SUMMARY!AR22</f>
        <v>marginally possible now</v>
      </c>
    </row>
    <row r="18" spans="1:6" x14ac:dyDescent="0.3">
      <c r="A18" s="140" t="str">
        <f>SUMMARY!B24</f>
        <v>Alewife Cove</v>
      </c>
      <c r="B18" s="139">
        <f>SUMMARY!C24</f>
        <v>18</v>
      </c>
      <c r="C18" s="179">
        <f>SUMMARY!AN24</f>
        <v>1.00001792757261</v>
      </c>
      <c r="D18" s="179">
        <f>SUMMARY!AO24</f>
        <v>1.00001792757261</v>
      </c>
      <c r="E18" s="179">
        <f>SUMMARY!AP24</f>
        <v>0.909107206884188</v>
      </c>
      <c r="F18" s="298" t="str">
        <f>SUMMARY!AR24</f>
        <v>unlikely, too shallow</v>
      </c>
    </row>
    <row r="19" spans="1:6" x14ac:dyDescent="0.3">
      <c r="A19" s="140" t="str">
        <f>SUMMARY!B25</f>
        <v>Goshen Cove</v>
      </c>
      <c r="B19" s="139">
        <f>SUMMARY!C25</f>
        <v>19</v>
      </c>
      <c r="C19" s="179">
        <f>SUMMARY!AN25</f>
        <v>1.0000087531183</v>
      </c>
      <c r="D19" s="179">
        <f>SUMMARY!AO25</f>
        <v>1.0000087531183</v>
      </c>
      <c r="E19" s="179">
        <f>SUMMARY!AP25</f>
        <v>1.0000087531183</v>
      </c>
      <c r="F19" s="298" t="str">
        <f>SUMMARY!AR25</f>
        <v>unlikely, too shallow</v>
      </c>
    </row>
    <row r="20" spans="1:6" x14ac:dyDescent="0.3">
      <c r="A20" s="140" t="str">
        <f>SUMMARY!B26</f>
        <v>Jordan Cove</v>
      </c>
      <c r="B20" s="139">
        <f>SUMMARY!C26</f>
        <v>20</v>
      </c>
      <c r="C20" s="179">
        <f>SUMMARY!AN26</f>
        <v>1.00000733133799</v>
      </c>
      <c r="D20" s="179">
        <f>SUMMARY!AO26</f>
        <v>0.95988067840128799</v>
      </c>
      <c r="E20" s="179">
        <f>SUMMARY!AP26</f>
        <v>0.95988067840128799</v>
      </c>
      <c r="F20" s="298" t="str">
        <f>SUMMARY!AR26</f>
        <v>marginally possible now</v>
      </c>
    </row>
    <row r="21" spans="1:6" x14ac:dyDescent="0.3">
      <c r="A21" s="140" t="str">
        <f>SUMMARY!B27</f>
        <v>Gardners Pond</v>
      </c>
      <c r="B21" s="139">
        <f>SUMMARY!C27</f>
        <v>21</v>
      </c>
      <c r="C21" s="179">
        <f>SUMMARY!AN27</f>
        <v>1.00014594279043</v>
      </c>
      <c r="D21" s="179">
        <f>SUMMARY!AO27</f>
        <v>1.00014594279043</v>
      </c>
      <c r="E21" s="179">
        <f>SUMMARY!AP27</f>
        <v>1.00014594279043</v>
      </c>
      <c r="F21" s="298" t="str">
        <f>SUMMARY!AR27</f>
        <v>unlikely, too shallow</v>
      </c>
    </row>
    <row r="22" spans="1:6" x14ac:dyDescent="0.3">
      <c r="A22" s="140" t="str">
        <f>SUMMARY!B28</f>
        <v>Niantic River</v>
      </c>
      <c r="B22" s="139">
        <f>SUMMARY!C28</f>
        <v>22</v>
      </c>
      <c r="C22" s="179">
        <f>SUMMARY!AN28</f>
        <v>0.97023809523809501</v>
      </c>
      <c r="D22" s="179">
        <f>SUMMARY!AO28</f>
        <v>0.63095238095238104</v>
      </c>
      <c r="E22" s="179">
        <f>SUMMARY!AP28</f>
        <v>0.49404761904761901</v>
      </c>
      <c r="F22" s="298" t="str">
        <f>SUMMARY!AR28</f>
        <v>currently present, field verified</v>
      </c>
    </row>
    <row r="23" spans="1:6" x14ac:dyDescent="0.3">
      <c r="A23" s="140" t="str">
        <f>SUMMARY!B29</f>
        <v>Niantic Bay</v>
      </c>
      <c r="B23" s="139">
        <f>SUMMARY!C29</f>
        <v>23</v>
      </c>
      <c r="C23" s="179">
        <f>SUMMARY!AN29</f>
        <v>0.582278481012658</v>
      </c>
      <c r="D23" s="179">
        <f>SUMMARY!AO29</f>
        <v>0.253164556962025</v>
      </c>
      <c r="E23" s="179">
        <f>SUMMARY!AP29</f>
        <v>0.15611814345991601</v>
      </c>
      <c r="F23" s="298" t="str">
        <f>SUMMARY!AR29</f>
        <v>currently present, field verified</v>
      </c>
    </row>
    <row r="24" spans="1:6" x14ac:dyDescent="0.3">
      <c r="A24" s="140" t="str">
        <f>SUMMARY!B31</f>
        <v>Pattagansett River</v>
      </c>
      <c r="B24" s="139">
        <f>SUMMARY!C31</f>
        <v>24</v>
      </c>
      <c r="C24" s="179">
        <f>SUMMARY!AN31</f>
        <v>1.00003208187294</v>
      </c>
      <c r="D24" s="179">
        <f>SUMMARY!AO31</f>
        <v>1.00003208187294</v>
      </c>
      <c r="E24" s="179">
        <f>SUMMARY!AP31</f>
        <v>1.00003208187294</v>
      </c>
      <c r="F24" s="298" t="str">
        <f>SUMMARY!AR31</f>
        <v>unlikely, too shallow</v>
      </c>
    </row>
    <row r="25" spans="1:6" x14ac:dyDescent="0.3">
      <c r="A25" s="140" t="str">
        <f>SUMMARY!B32</f>
        <v>Bride Brook</v>
      </c>
      <c r="B25" s="139">
        <f>SUMMARY!C32</f>
        <v>25</v>
      </c>
      <c r="C25" s="179">
        <f>SUMMARY!AN32</f>
        <v>0.99993056616350295</v>
      </c>
      <c r="D25" s="179">
        <f>SUMMARY!AO32</f>
        <v>0.99993056616350295</v>
      </c>
      <c r="E25" s="179">
        <f>SUMMARY!AP32</f>
        <v>0.99993056616350295</v>
      </c>
      <c r="F25" s="298" t="str">
        <f>SUMMARY!AR32</f>
        <v>unlikely, too shallow</v>
      </c>
    </row>
    <row r="26" spans="1:6" x14ac:dyDescent="0.3">
      <c r="A26" s="140" t="str">
        <f>SUMMARY!B33</f>
        <v>Four Mile River</v>
      </c>
      <c r="B26" s="139">
        <f>SUMMARY!C33</f>
        <v>26</v>
      </c>
      <c r="C26" s="179">
        <f>SUMMARY!AN33</f>
        <v>0.99996222756632203</v>
      </c>
      <c r="D26" s="179">
        <f>SUMMARY!AO33</f>
        <v>0.99996222756632203</v>
      </c>
      <c r="E26" s="179">
        <f>SUMMARY!AP33</f>
        <v>0.99996222756632203</v>
      </c>
      <c r="F26" s="298" t="str">
        <f>SUMMARY!AR33</f>
        <v>unlikely, too shallow</v>
      </c>
    </row>
    <row r="27" spans="1:6" x14ac:dyDescent="0.3">
      <c r="A27" s="140" t="str">
        <f>SUMMARY!B34</f>
        <v>Threemile River</v>
      </c>
      <c r="B27" s="139">
        <f>SUMMARY!C34</f>
        <v>27</v>
      </c>
      <c r="C27" s="179">
        <f>SUMMARY!AN34</f>
        <v>0.99992575360095004</v>
      </c>
      <c r="D27" s="179">
        <f>SUMMARY!AO34</f>
        <v>0.99992575360095004</v>
      </c>
      <c r="E27" s="179">
        <f>SUMMARY!AP34</f>
        <v>0.99992575360095004</v>
      </c>
      <c r="F27" s="298" t="str">
        <f>SUMMARY!AR34</f>
        <v>unlikely, too shallow</v>
      </c>
    </row>
    <row r="28" spans="1:6" x14ac:dyDescent="0.3">
      <c r="A28" s="140" t="str">
        <f>SUMMARY!B35</f>
        <v>Black Hall River</v>
      </c>
      <c r="B28" s="139">
        <f>SUMMARY!C35</f>
        <v>28</v>
      </c>
      <c r="C28" s="179">
        <f>SUMMARY!AN35</f>
        <v>0.99999493020154995</v>
      </c>
      <c r="D28" s="179">
        <f>SUMMARY!AO35</f>
        <v>0.96879834792167796</v>
      </c>
      <c r="E28" s="179">
        <f>SUMMARY!AP35</f>
        <v>0.90640518336193499</v>
      </c>
      <c r="F28" s="298" t="str">
        <f>SUMMARY!AR35</f>
        <v>marginally possible now</v>
      </c>
    </row>
    <row r="29" spans="1:6" x14ac:dyDescent="0.3">
      <c r="A29" s="140" t="str">
        <f>SUMMARY!B37</f>
        <v>South Cove</v>
      </c>
      <c r="B29" s="139">
        <f>SUMMARY!C37</f>
        <v>30</v>
      </c>
      <c r="C29" s="179">
        <f>SUMMARY!AN37</f>
        <v>1.0000015614728399</v>
      </c>
      <c r="D29" s="179">
        <f>SUMMARY!AO37</f>
        <v>1.0000015614728399</v>
      </c>
      <c r="E29" s="179">
        <f>SUMMARY!AP37</f>
        <v>1.0000015614728399</v>
      </c>
      <c r="F29" s="298" t="str">
        <f>SUMMARY!AR37</f>
        <v>unlikely, too shallow</v>
      </c>
    </row>
    <row r="30" spans="1:6" x14ac:dyDescent="0.3">
      <c r="A30" s="140" t="str">
        <f>SUMMARY!B38</f>
        <v>Indiantown Harbor</v>
      </c>
      <c r="B30" s="139">
        <f>SUMMARY!C38</f>
        <v>31</v>
      </c>
      <c r="C30" s="179">
        <f>SUMMARY!AN38</f>
        <v>1</v>
      </c>
      <c r="D30" s="179">
        <f>SUMMARY!AO38</f>
        <v>1</v>
      </c>
      <c r="E30" s="179">
        <f>SUMMARY!AP38</f>
        <v>1</v>
      </c>
      <c r="F30" s="298" t="str">
        <f>SUMMARY!AR38</f>
        <v>unlikely, too shallow</v>
      </c>
    </row>
    <row r="31" spans="1:6" x14ac:dyDescent="0.3">
      <c r="A31" s="140" t="str">
        <f>SUMMARY!B39</f>
        <v>Oyster River, Old Saybrook</v>
      </c>
      <c r="B31" s="139">
        <f>SUMMARY!C39</f>
        <v>32</v>
      </c>
      <c r="C31" s="179">
        <f>SUMMARY!AN39</f>
        <v>0.99998128322227997</v>
      </c>
      <c r="D31" s="179">
        <f>SUMMARY!AO39</f>
        <v>0.99998128322227997</v>
      </c>
      <c r="E31" s="179">
        <f>SUMMARY!AP39</f>
        <v>0.99998128322227997</v>
      </c>
      <c r="F31" s="298" t="str">
        <f>SUMMARY!AR39</f>
        <v>unlikely, too shallow</v>
      </c>
    </row>
    <row r="32" spans="1:6" x14ac:dyDescent="0.3">
      <c r="A32" s="140" t="str">
        <f>SUMMARY!B40</f>
        <v>Hagar Creek</v>
      </c>
      <c r="B32" s="139">
        <f>SUMMARY!C40</f>
        <v>33</v>
      </c>
      <c r="C32" s="179">
        <f>SUMMARY!AN40</f>
        <v>1.00021181952976</v>
      </c>
      <c r="D32" s="179">
        <f>SUMMARY!AO40</f>
        <v>1.00021181952976</v>
      </c>
      <c r="E32" s="179">
        <f>SUMMARY!AP40</f>
        <v>1.00021181952976</v>
      </c>
      <c r="F32" s="298" t="str">
        <f>SUMMARY!AR40</f>
        <v>unlikely, too shallow</v>
      </c>
    </row>
    <row r="33" spans="1:6" x14ac:dyDescent="0.3">
      <c r="A33" s="140" t="str">
        <f>SUMMARY!B41</f>
        <v>Patchogue River</v>
      </c>
      <c r="B33" s="139">
        <f>SUMMARY!C41</f>
        <v>34</v>
      </c>
      <c r="C33" s="179">
        <f>SUMMARY!AN41</f>
        <v>1</v>
      </c>
      <c r="D33" s="179">
        <f>SUMMARY!AO41</f>
        <v>1</v>
      </c>
      <c r="E33" s="179">
        <f>SUMMARY!AP41</f>
        <v>0.92307692307692302</v>
      </c>
      <c r="F33" s="298" t="str">
        <f>SUMMARY!AR41</f>
        <v>unlikely, too shallow</v>
      </c>
    </row>
    <row r="34" spans="1:6" x14ac:dyDescent="0.3">
      <c r="A34" s="140" t="str">
        <f>SUMMARY!B42</f>
        <v>Menunkesucket River</v>
      </c>
      <c r="B34" s="139">
        <f>SUMMARY!C42</f>
        <v>35</v>
      </c>
      <c r="C34" s="179">
        <f>SUMMARY!AN42</f>
        <v>0.99998822800009401</v>
      </c>
      <c r="D34" s="179">
        <f>SUMMARY!AO42</f>
        <v>0.80078636959370897</v>
      </c>
      <c r="E34" s="179">
        <f>SUMMARY!AP42</f>
        <v>0.73918741808650101</v>
      </c>
      <c r="F34" s="298" t="str">
        <f>SUMMARY!AR42</f>
        <v>possible if water clarity improves</v>
      </c>
    </row>
    <row r="35" spans="1:6" x14ac:dyDescent="0.3">
      <c r="A35" s="140" t="str">
        <f>SUMMARY!B43</f>
        <v>Clinton Harbor</v>
      </c>
      <c r="B35" s="139">
        <f>SUMMARY!C43</f>
        <v>36</v>
      </c>
      <c r="C35" s="179">
        <f>SUMMARY!AN43</f>
        <v>0.98829581712571701</v>
      </c>
      <c r="D35" s="179">
        <f>SUMMARY!AO43</f>
        <v>0.79517149845605295</v>
      </c>
      <c r="E35" s="179">
        <f>SUMMARY!AP43</f>
        <v>0.63308548143488297</v>
      </c>
      <c r="F35" s="298" t="str">
        <f>SUMMARY!AR43</f>
        <v>possible if water clarity improves</v>
      </c>
    </row>
    <row r="36" spans="1:6" x14ac:dyDescent="0.3">
      <c r="A36" s="140" t="str">
        <f>SUMMARY!B44</f>
        <v>Toms Creek</v>
      </c>
      <c r="B36" s="139">
        <f>SUMMARY!C44</f>
        <v>37</v>
      </c>
      <c r="C36" s="179">
        <f>SUMMARY!AN44</f>
        <v>1.0001272669424099</v>
      </c>
      <c r="D36" s="179">
        <f>SUMMARY!AO44</f>
        <v>1.0001272669424099</v>
      </c>
      <c r="E36" s="179">
        <f>SUMMARY!AP44</f>
        <v>0.92319440025453403</v>
      </c>
      <c r="F36" s="298" t="str">
        <f>SUMMARY!AR44</f>
        <v>unlikely, too shallow</v>
      </c>
    </row>
    <row r="37" spans="1:6" x14ac:dyDescent="0.3">
      <c r="A37" s="140" t="str">
        <f>SUMMARY!B45</f>
        <v>Fence Creek</v>
      </c>
      <c r="B37" s="139">
        <f>SUMMARY!C45</f>
        <v>38</v>
      </c>
      <c r="C37" s="179">
        <f>SUMMARY!AN45</f>
        <v>1.0002145462347101</v>
      </c>
      <c r="D37" s="179">
        <f>SUMMARY!AO45</f>
        <v>1.0002145462347101</v>
      </c>
      <c r="E37" s="179">
        <f>SUMMARY!AP45</f>
        <v>0.85732675391546898</v>
      </c>
      <c r="F37" s="298" t="str">
        <f>SUMMARY!AR45</f>
        <v>unlikely, too shallow</v>
      </c>
    </row>
    <row r="38" spans="1:6" x14ac:dyDescent="0.3">
      <c r="A38" s="140" t="str">
        <f>SUMMARY!B46</f>
        <v>Guilford Harbor</v>
      </c>
      <c r="B38" s="139">
        <f>SUMMARY!C46</f>
        <v>39</v>
      </c>
      <c r="C38" s="179">
        <f>SUMMARY!AN46</f>
        <v>0.99999780513674796</v>
      </c>
      <c r="D38" s="179">
        <f>SUMMARY!AO46</f>
        <v>0.81543422351499695</v>
      </c>
      <c r="E38" s="179">
        <f>SUMMARY!AP46</f>
        <v>0.60995760758808104</v>
      </c>
      <c r="F38" s="298" t="str">
        <f>SUMMARY!AR46</f>
        <v>possible if water clarity improves</v>
      </c>
    </row>
    <row r="39" spans="1:6" x14ac:dyDescent="0.3">
      <c r="A39" s="140" t="str">
        <f>SUMMARY!B47</f>
        <v>Indian Cove</v>
      </c>
      <c r="B39" s="139">
        <f>SUMMARY!C47</f>
        <v>40</v>
      </c>
      <c r="C39" s="179">
        <f>SUMMARY!AN47</f>
        <v>1.0000206121818001</v>
      </c>
      <c r="D39" s="179">
        <f>SUMMARY!AO47</f>
        <v>0.56490569926826795</v>
      </c>
      <c r="E39" s="179">
        <f>SUMMARY!AP47</f>
        <v>0.48420488508708698</v>
      </c>
      <c r="F39" s="298" t="str">
        <f>SUMMARY!AR47</f>
        <v>possible if water clarity improves</v>
      </c>
    </row>
    <row r="40" spans="1:6" x14ac:dyDescent="0.3">
      <c r="A40" s="140" t="str">
        <f>SUMMARY!B48</f>
        <v>Sachem Head Harbor</v>
      </c>
      <c r="B40" s="139">
        <f>SUMMARY!C48</f>
        <v>41</v>
      </c>
      <c r="C40" s="179">
        <f>SUMMARY!AN48</f>
        <v>0.92554805813385499</v>
      </c>
      <c r="D40" s="179">
        <f>SUMMARY!AO48</f>
        <v>0.70205483634587196</v>
      </c>
      <c r="E40" s="179">
        <f>SUMMARY!AP48</f>
        <v>0.57654341719589597</v>
      </c>
      <c r="F40" s="298" t="str">
        <f>SUMMARY!AR48</f>
        <v>possible if water clarity improves</v>
      </c>
    </row>
    <row r="41" spans="1:6" x14ac:dyDescent="0.3">
      <c r="A41" s="140" t="str">
        <f>SUMMARY!B49</f>
        <v>Joshua Cove</v>
      </c>
      <c r="B41" s="139">
        <f>SUMMARY!C49</f>
        <v>42</v>
      </c>
      <c r="C41" s="179">
        <f>SUMMARY!AN49</f>
        <v>0.96322427067615601</v>
      </c>
      <c r="D41" s="179">
        <f>SUMMARY!AO49</f>
        <v>0.66900957573668496</v>
      </c>
      <c r="E41" s="179">
        <f>SUMMARY!AP49</f>
        <v>0.49107545634842698</v>
      </c>
      <c r="F41" s="298" t="str">
        <f>SUMMARY!AR49</f>
        <v>possible if water clarity improves</v>
      </c>
    </row>
    <row r="42" spans="1:6" x14ac:dyDescent="0.3">
      <c r="A42" s="140" t="str">
        <f>SUMMARY!B50</f>
        <v>Island Bay</v>
      </c>
      <c r="B42" s="139">
        <f>SUMMARY!C50</f>
        <v>43</v>
      </c>
      <c r="C42" s="179">
        <f>SUMMARY!AN50</f>
        <v>1.0000094910578401</v>
      </c>
      <c r="D42" s="179">
        <f>SUMMARY!AO50</f>
        <v>0.59537405840796997</v>
      </c>
      <c r="E42" s="179">
        <f>SUMMARY!AP50</f>
        <v>0.47629924672637602</v>
      </c>
      <c r="F42" s="298" t="str">
        <f>SUMMARY!AR50</f>
        <v>possible if water clarity improves</v>
      </c>
    </row>
    <row r="43" spans="1:6" x14ac:dyDescent="0.3">
      <c r="A43" s="140" t="str">
        <f>SUMMARY!B51</f>
        <v>Little Harbor</v>
      </c>
      <c r="B43" s="139">
        <f>SUMMARY!C51</f>
        <v>44</v>
      </c>
      <c r="C43" s="179">
        <f>SUMMARY!AN51</f>
        <v>0.99996568997461099</v>
      </c>
      <c r="D43" s="179">
        <f>SUMMARY!AO51</f>
        <v>0.99996568997461099</v>
      </c>
      <c r="E43" s="179">
        <f>SUMMARY!AP51</f>
        <v>0.79997255197968797</v>
      </c>
      <c r="F43" s="298" t="str">
        <f>SUMMARY!AR51</f>
        <v>unlikely, too shallow</v>
      </c>
    </row>
    <row r="44" spans="1:6" x14ac:dyDescent="0.3">
      <c r="A44" s="140" t="str">
        <f>SUMMARY!B52</f>
        <v>Branford Harbor</v>
      </c>
      <c r="B44" s="139">
        <f>SUMMARY!C52</f>
        <v>45</v>
      </c>
      <c r="C44" s="179">
        <f>SUMMARY!AN52</f>
        <v>0.73644854415259897</v>
      </c>
      <c r="D44" s="179">
        <f>SUMMARY!AO52</f>
        <v>0.40246420088913198</v>
      </c>
      <c r="E44" s="179">
        <f>SUMMARY!AP52</f>
        <v>0.29470737694882698</v>
      </c>
      <c r="F44" s="298" t="str">
        <f>SUMMARY!AR52</f>
        <v>possible if water clarity improves</v>
      </c>
    </row>
    <row r="45" spans="1:6" x14ac:dyDescent="0.3">
      <c r="A45" s="140" t="str">
        <f>SUMMARY!B53</f>
        <v>Pages Cove</v>
      </c>
      <c r="B45" s="139">
        <f>SUMMARY!C53</f>
        <v>46</v>
      </c>
      <c r="C45" s="179">
        <f>SUMMARY!AN53</f>
        <v>1</v>
      </c>
      <c r="D45" s="179">
        <f>SUMMARY!AO53</f>
        <v>0.93333333333333302</v>
      </c>
      <c r="E45" s="179">
        <f>SUMMARY!AP53</f>
        <v>0.73333333333333295</v>
      </c>
      <c r="F45" s="298" t="str">
        <f>SUMMARY!AR53</f>
        <v>unlikely, too shallow</v>
      </c>
    </row>
    <row r="46" spans="1:6" x14ac:dyDescent="0.3">
      <c r="A46" s="140" t="str">
        <f>SUMMARY!B54</f>
        <v>Farm River</v>
      </c>
      <c r="B46" s="139">
        <f>SUMMARY!C54</f>
        <v>47</v>
      </c>
      <c r="C46" s="179">
        <f>SUMMARY!AN54</f>
        <v>0.84197637500059297</v>
      </c>
      <c r="D46" s="179">
        <f>SUMMARY!AO54</f>
        <v>0.36173110783118001</v>
      </c>
      <c r="E46" s="179">
        <f>SUMMARY!AP54</f>
        <v>0.27129833087338501</v>
      </c>
      <c r="F46" s="298" t="str">
        <f>SUMMARY!AR54</f>
        <v>possible if water clarity improves</v>
      </c>
    </row>
    <row r="47" spans="1:6" x14ac:dyDescent="0.3">
      <c r="A47" s="140" t="str">
        <f>SUMMARY!B55</f>
        <v>New Haven Harbor</v>
      </c>
      <c r="B47" s="139">
        <f>SUMMARY!C55</f>
        <v>48</v>
      </c>
      <c r="C47" s="179">
        <f>SUMMARY!AN55</f>
        <v>0.47753530166880598</v>
      </c>
      <c r="D47" s="179">
        <f>SUMMARY!AO55</f>
        <v>0.11938382541720199</v>
      </c>
      <c r="E47" s="179">
        <f>SUMMARY!AP55</f>
        <v>1.66880616174583E-2</v>
      </c>
      <c r="F47" s="298" t="str">
        <f>SUMMARY!AR55</f>
        <v>possible if water clarity improves</v>
      </c>
    </row>
    <row r="48" spans="1:6" x14ac:dyDescent="0.3">
      <c r="A48" s="140" t="str">
        <f>SUMMARY!B56</f>
        <v>Oyster River, Milford</v>
      </c>
      <c r="B48" s="139">
        <f>SUMMARY!C56</f>
        <v>49</v>
      </c>
      <c r="C48" s="179">
        <f>SUMMARY!AN56</f>
        <v>0.99981309575727395</v>
      </c>
      <c r="D48" s="179">
        <f>SUMMARY!AO56</f>
        <v>0.87483645878761496</v>
      </c>
      <c r="E48" s="179">
        <f>SUMMARY!AP56</f>
        <v>0.68737150333312602</v>
      </c>
      <c r="F48" s="298" t="str">
        <f>SUMMARY!AR56</f>
        <v>unlikely, too shallow</v>
      </c>
    </row>
    <row r="49" spans="1:6" x14ac:dyDescent="0.3">
      <c r="A49" s="140" t="str">
        <f>SUMMARY!B57</f>
        <v>Calf Pen Meadow Creek</v>
      </c>
      <c r="B49" s="139">
        <f>SUMMARY!C57</f>
        <v>50</v>
      </c>
      <c r="C49" s="179">
        <f>SUMMARY!AN57</f>
        <v>1.0006227203985401</v>
      </c>
      <c r="D49" s="179">
        <f>SUMMARY!AO57</f>
        <v>0.813005960323815</v>
      </c>
      <c r="E49" s="179">
        <f>SUMMARY!AP57</f>
        <v>0.68792812027399697</v>
      </c>
      <c r="F49" s="298" t="str">
        <f>SUMMARY!AR57</f>
        <v>unlikely, too shallow</v>
      </c>
    </row>
    <row r="50" spans="1:6" x14ac:dyDescent="0.3">
      <c r="A50" s="140" t="str">
        <f>SUMMARY!B58</f>
        <v>Milford Harbor</v>
      </c>
      <c r="B50" s="139">
        <f>SUMMARY!C58</f>
        <v>51</v>
      </c>
      <c r="C50" s="179">
        <f>SUMMARY!AN58</f>
        <v>0.67475176994469699</v>
      </c>
      <c r="D50" s="179">
        <f>SUMMARY!AO58</f>
        <v>0.37206056078185801</v>
      </c>
      <c r="E50" s="179">
        <f>SUMMARY!AP58</f>
        <v>0.223084248458955</v>
      </c>
      <c r="F50" s="298" t="str">
        <f>SUMMARY!AR58</f>
        <v>possible if water clarity improves</v>
      </c>
    </row>
    <row r="51" spans="1:6" x14ac:dyDescent="0.3">
      <c r="A51" s="140" t="str">
        <f>SUMMARY!B60</f>
        <v>Lewis Gut</v>
      </c>
      <c r="B51" s="139">
        <f>SUMMARY!C60</f>
        <v>53</v>
      </c>
      <c r="C51" s="179">
        <f>SUMMARY!AN60</f>
        <v>0.96711333696913404</v>
      </c>
      <c r="D51" s="179">
        <f>SUMMARY!AO60</f>
        <v>0.65146870825999903</v>
      </c>
      <c r="E51" s="179">
        <f>SUMMARY!AP60</f>
        <v>0.467393919251196</v>
      </c>
      <c r="F51" s="298" t="str">
        <f>SUMMARY!AR60</f>
        <v>possible if water clarity improves</v>
      </c>
    </row>
    <row r="52" spans="1:6" x14ac:dyDescent="0.3">
      <c r="A52" s="140" t="str">
        <f>SUMMARY!B61</f>
        <v>Bridgeport Harbor</v>
      </c>
      <c r="B52" s="139">
        <f>SUMMARY!C61</f>
        <v>54</v>
      </c>
      <c r="C52" s="179">
        <f>SUMMARY!AN61</f>
        <v>0.54006200989403896</v>
      </c>
      <c r="D52" s="179">
        <f>SUMMARY!AO61</f>
        <v>0.263967550470113</v>
      </c>
      <c r="E52" s="179">
        <f>SUMMARY!AP61</f>
        <v>0.191452022770497</v>
      </c>
      <c r="F52" s="298" t="str">
        <f>SUMMARY!AR61</f>
        <v>possible if water clarity improves</v>
      </c>
    </row>
    <row r="53" spans="1:6" x14ac:dyDescent="0.3">
      <c r="A53" s="140" t="str">
        <f>SUMMARY!B62</f>
        <v>Pequonnock River</v>
      </c>
      <c r="B53" s="139">
        <f>SUMMARY!C62</f>
        <v>55</v>
      </c>
      <c r="C53" s="179">
        <f>SUMMARY!AN62</f>
        <v>0.99996036307423997</v>
      </c>
      <c r="D53" s="179">
        <f>SUMMARY!AO62</f>
        <v>0.76467557176265399</v>
      </c>
      <c r="E53" s="179">
        <f>SUMMARY!AP62</f>
        <v>0.58821197827896499</v>
      </c>
      <c r="F53" s="298" t="str">
        <f>SUMMARY!AR62</f>
        <v>unlikely, too shallow</v>
      </c>
    </row>
    <row r="54" spans="1:6" x14ac:dyDescent="0.3">
      <c r="A54" s="140" t="str">
        <f>SUMMARY!B64</f>
        <v>Black Rock Harbor</v>
      </c>
      <c r="B54" s="139">
        <f>SUMMARY!C64</f>
        <v>56</v>
      </c>
      <c r="C54" s="179">
        <f>SUMMARY!AN64</f>
        <v>0.98728941001737702</v>
      </c>
      <c r="D54" s="179">
        <f>SUMMARY!AO64</f>
        <v>0.55494571770118395</v>
      </c>
      <c r="E54" s="179">
        <f>SUMMARY!AP64</f>
        <v>0.42485014334977</v>
      </c>
      <c r="F54" s="298" t="str">
        <f>SUMMARY!AR64</f>
        <v>possible if water clarity improves</v>
      </c>
    </row>
    <row r="55" spans="1:6" x14ac:dyDescent="0.3">
      <c r="A55" s="140" t="str">
        <f>SUMMARY!B65</f>
        <v>Ash Creek</v>
      </c>
      <c r="B55" s="139">
        <f>SUMMARY!C65</f>
        <v>57</v>
      </c>
      <c r="C55" s="179">
        <f>SUMMARY!AN65</f>
        <v>0.99999239159931097</v>
      </c>
      <c r="D55" s="179">
        <f>SUMMARY!AO65</f>
        <v>0.70587698230539597</v>
      </c>
      <c r="E55" s="179">
        <f>SUMMARY!AP65</f>
        <v>0.58823081858783</v>
      </c>
      <c r="F55" s="298" t="str">
        <f>SUMMARY!AR65</f>
        <v>unlikely, too shallow</v>
      </c>
    </row>
    <row r="56" spans="1:6" x14ac:dyDescent="0.3">
      <c r="A56" s="140" t="str">
        <f>SUMMARY!B66</f>
        <v>Pine Creek</v>
      </c>
      <c r="B56" s="139">
        <f>SUMMARY!C66</f>
        <v>58</v>
      </c>
      <c r="C56" s="179">
        <f>SUMMARY!AN66</f>
        <v>1.0000554708084901</v>
      </c>
      <c r="D56" s="179">
        <f>SUMMARY!AO66</f>
        <v>0.70592150880599103</v>
      </c>
      <c r="E56" s="179">
        <f>SUMMARY!AP66</f>
        <v>0.58826792400499195</v>
      </c>
      <c r="F56" s="298" t="str">
        <f>SUMMARY!AR66</f>
        <v>unlikely, too shallow</v>
      </c>
    </row>
    <row r="57" spans="1:6" x14ac:dyDescent="0.3">
      <c r="A57" s="140" t="str">
        <f>SUMMARY!B67</f>
        <v>Mill River</v>
      </c>
      <c r="B57" s="139">
        <f>SUMMARY!C67</f>
        <v>59</v>
      </c>
      <c r="C57" s="179">
        <f>SUMMARY!AN67</f>
        <v>1.0000189500174299</v>
      </c>
      <c r="D57" s="179">
        <f>SUMMARY!AO67</f>
        <v>0.52942179706805303</v>
      </c>
      <c r="E57" s="179">
        <f>SUMMARY!AP67</f>
        <v>0.41177250883070798</v>
      </c>
      <c r="F57" s="298" t="str">
        <f>SUMMARY!AR67</f>
        <v>unlikely, too shallow</v>
      </c>
    </row>
    <row r="58" spans="1:6" x14ac:dyDescent="0.3">
      <c r="A58" s="140" t="str">
        <f>SUMMARY!B68</f>
        <v>Sasco Brook</v>
      </c>
      <c r="B58" s="139">
        <f>SUMMARY!C68</f>
        <v>60</v>
      </c>
      <c r="C58" s="179">
        <f>SUMMARY!AN68</f>
        <v>1.0000917481696201</v>
      </c>
      <c r="D58" s="179">
        <f>SUMMARY!AO68</f>
        <v>0.70594711635502905</v>
      </c>
      <c r="E58" s="179">
        <f>SUMMARY!AP68</f>
        <v>0.58828926362919098</v>
      </c>
      <c r="F58" s="298" t="str">
        <f>SUMMARY!AR68</f>
        <v>unlikely, too shallow</v>
      </c>
    </row>
    <row r="59" spans="1:6" x14ac:dyDescent="0.3">
      <c r="A59" s="140" t="str">
        <f>SUMMARY!B69</f>
        <v>Sherwood Millpond</v>
      </c>
      <c r="B59" s="139">
        <f>SUMMARY!C69</f>
        <v>61</v>
      </c>
      <c r="C59" s="179">
        <f>SUMMARY!AN69</f>
        <v>0.99998376220444296</v>
      </c>
      <c r="D59" s="179">
        <f>SUMMARY!AO69</f>
        <v>0.70587089096784195</v>
      </c>
      <c r="E59" s="179">
        <f>SUMMARY!AP69</f>
        <v>0.52940316822588196</v>
      </c>
      <c r="F59" s="298" t="str">
        <f>SUMMARY!AR69</f>
        <v>unlikely, too shallow</v>
      </c>
    </row>
    <row r="60" spans="1:6" x14ac:dyDescent="0.3">
      <c r="A60" s="140" t="str">
        <f>SUMMARY!B70</f>
        <v>Compo Cove</v>
      </c>
      <c r="B60" s="139">
        <f>SUMMARY!C70</f>
        <v>62</v>
      </c>
      <c r="C60" s="179">
        <f>SUMMARY!AN70</f>
        <v>1.0000365214850699</v>
      </c>
      <c r="D60" s="179">
        <f>SUMMARY!AO70</f>
        <v>0.70590813281298903</v>
      </c>
      <c r="E60" s="179">
        <f>SUMMARY!AP70</f>
        <v>0.529431099609742</v>
      </c>
      <c r="F60" s="298" t="str">
        <f>SUMMARY!AR70</f>
        <v>unlikely, too shallow</v>
      </c>
    </row>
    <row r="61" spans="1:6" x14ac:dyDescent="0.3">
      <c r="A61" s="140" t="str">
        <f>SUMMARY!B73</f>
        <v>Saugatuck River</v>
      </c>
      <c r="B61" s="139">
        <f>SUMMARY!C73</f>
        <v>64</v>
      </c>
      <c r="C61" s="179">
        <f>SUMMARY!AN73</f>
        <v>0.68807339449541305</v>
      </c>
      <c r="D61" s="179">
        <f>SUMMARY!AO73</f>
        <v>0</v>
      </c>
      <c r="E61" s="179">
        <f>SUMMARY!AP73</f>
        <v>0</v>
      </c>
      <c r="F61" s="298" t="str">
        <f>SUMMARY!AR73</f>
        <v>possible if water clarity improves</v>
      </c>
    </row>
    <row r="62" spans="1:6" x14ac:dyDescent="0.3">
      <c r="A62" s="140" t="str">
        <f>SUMMARY!B74</f>
        <v>Cockenoe Harbor</v>
      </c>
      <c r="B62" s="139">
        <f>SUMMARY!C74</f>
        <v>65</v>
      </c>
      <c r="C62" s="179">
        <f>SUMMARY!AN74</f>
        <v>0.80110781945668996</v>
      </c>
      <c r="D62" s="179">
        <f>SUMMARY!AO74</f>
        <v>0.50549391505252095</v>
      </c>
      <c r="E62" s="179">
        <f>SUMMARY!AP74</f>
        <v>0.41358593049751702</v>
      </c>
      <c r="F62" s="298" t="str">
        <f>SUMMARY!AR74</f>
        <v>possible if water clarity improves</v>
      </c>
    </row>
    <row r="63" spans="1:6" x14ac:dyDescent="0.3">
      <c r="A63" s="140" t="str">
        <f>SUMMARY!B75</f>
        <v>Norwalk Harbor</v>
      </c>
      <c r="B63" s="139">
        <f>SUMMARY!C75</f>
        <v>66</v>
      </c>
      <c r="C63" s="179">
        <f>SUMMARY!AN75</f>
        <v>0.88438830270878299</v>
      </c>
      <c r="D63" s="179">
        <f>SUMMARY!AO75</f>
        <v>0.386947481267992</v>
      </c>
      <c r="E63" s="179">
        <f>SUMMARY!AP75</f>
        <v>0.24552664859771001</v>
      </c>
      <c r="F63" s="298" t="str">
        <f>SUMMARY!AR75</f>
        <v>possible if water clarity improves</v>
      </c>
    </row>
    <row r="64" spans="1:6" x14ac:dyDescent="0.3">
      <c r="A64" s="140" t="str">
        <f>SUMMARY!B76</f>
        <v>Sheffield Island Harbor</v>
      </c>
      <c r="B64" s="139">
        <f>SUMMARY!C76</f>
        <v>67</v>
      </c>
      <c r="C64" s="179">
        <f>SUMMARY!AN76</f>
        <v>1.0000205710524199</v>
      </c>
      <c r="D64" s="179">
        <f>SUMMARY!AO76</f>
        <v>0.40266806549823098</v>
      </c>
      <c r="E64" s="179">
        <f>SUMMARY!AP76</f>
        <v>0.32945568995309799</v>
      </c>
      <c r="F64" s="298" t="str">
        <f>SUMMARY!AR76</f>
        <v>possible if water clarity improves</v>
      </c>
    </row>
    <row r="65" spans="1:6" x14ac:dyDescent="0.3">
      <c r="A65" s="140" t="str">
        <f>SUMMARY!B77</f>
        <v>Five Mile River</v>
      </c>
      <c r="B65" s="139">
        <f>SUMMARY!C77</f>
        <v>68</v>
      </c>
      <c r="C65" s="179">
        <f>SUMMARY!AN77</f>
        <v>0.97295662570314201</v>
      </c>
      <c r="D65" s="179">
        <f>SUMMARY!AO77</f>
        <v>0.41280884341741603</v>
      </c>
      <c r="E65" s="179">
        <f>SUMMARY!AP77</f>
        <v>0.33775269006879499</v>
      </c>
      <c r="F65" s="298" t="str">
        <f>SUMMARY!AR77</f>
        <v>possible if water clarity improves</v>
      </c>
    </row>
    <row r="66" spans="1:6" x14ac:dyDescent="0.3">
      <c r="A66" s="140" t="str">
        <f>SUMMARY!B78</f>
        <v>Scotts Cove</v>
      </c>
      <c r="B66" s="139">
        <f>SUMMARY!C78</f>
        <v>69</v>
      </c>
      <c r="C66" s="179">
        <f>SUMMARY!AN78</f>
        <v>0.87034233483449497</v>
      </c>
      <c r="D66" s="179">
        <f>SUMMARY!AO78</f>
        <v>0.29516265755396898</v>
      </c>
      <c r="E66" s="179">
        <f>SUMMARY!AP78</f>
        <v>0.22137199316547701</v>
      </c>
      <c r="F66" s="298" t="str">
        <f>SUMMARY!AR78</f>
        <v>possible if water clarity improves</v>
      </c>
    </row>
    <row r="67" spans="1:6" x14ac:dyDescent="0.3">
      <c r="A67" s="140" t="str">
        <f>SUMMARY!B79</f>
        <v>Gorham Pond</v>
      </c>
      <c r="B67" s="139">
        <f>SUMMARY!C79</f>
        <v>70</v>
      </c>
      <c r="C67" s="179">
        <f>SUMMARY!AN79</f>
        <v>0.99997119870970197</v>
      </c>
      <c r="D67" s="179">
        <f>SUMMARY!AO79</f>
        <v>0.64704018740039604</v>
      </c>
      <c r="E67" s="179">
        <f>SUMMARY!AP79</f>
        <v>0.52939651696395995</v>
      </c>
      <c r="F67" s="298" t="str">
        <f>SUMMARY!AR79</f>
        <v>unlikely, too shallow</v>
      </c>
    </row>
    <row r="68" spans="1:6" x14ac:dyDescent="0.3">
      <c r="A68" s="140" t="str">
        <f>SUMMARY!B80</f>
        <v>Darien River</v>
      </c>
      <c r="B68" s="139">
        <f>SUMMARY!C80</f>
        <v>71</v>
      </c>
      <c r="C68" s="179">
        <f>SUMMARY!AN80</f>
        <v>0.56003561911962496</v>
      </c>
      <c r="D68" s="179">
        <f>SUMMARY!AO80</f>
        <v>0.16799106389885199</v>
      </c>
      <c r="E68" s="179">
        <f>SUMMARY!AP80</f>
        <v>0.12599329792413899</v>
      </c>
      <c r="F68" s="298" t="str">
        <f>SUMMARY!AR80</f>
        <v>possible if water clarity improves</v>
      </c>
    </row>
    <row r="69" spans="1:6" x14ac:dyDescent="0.3">
      <c r="A69" s="140" t="str">
        <f>SUMMARY!B82</f>
        <v>Holly Pond</v>
      </c>
      <c r="B69" s="139">
        <f>SUMMARY!C82</f>
        <v>72</v>
      </c>
      <c r="C69" s="179">
        <f>SUMMARY!AN82</f>
        <v>1.0000025290524901</v>
      </c>
      <c r="D69" s="179">
        <f>SUMMARY!AO82</f>
        <v>0.55555696058471704</v>
      </c>
      <c r="E69" s="179">
        <f>SUMMARY!AP82</f>
        <v>0.444445568467774</v>
      </c>
      <c r="F69" s="298" t="str">
        <f>SUMMARY!AR82</f>
        <v>unlikely, too shallow</v>
      </c>
    </row>
    <row r="70" spans="1:6" x14ac:dyDescent="0.3">
      <c r="A70" s="140" t="str">
        <f>SUMMARY!B83</f>
        <v>Cove Harbor</v>
      </c>
      <c r="B70" s="139">
        <f>SUMMARY!C83</f>
        <v>73</v>
      </c>
      <c r="C70" s="179">
        <f>SUMMARY!AN83</f>
        <v>0.213114754098361</v>
      </c>
      <c r="D70" s="179">
        <f>SUMMARY!AO83</f>
        <v>0</v>
      </c>
      <c r="E70" s="179">
        <f>SUMMARY!AP83</f>
        <v>0</v>
      </c>
      <c r="F70" s="298" t="str">
        <f>SUMMARY!AR83</f>
        <v>possible if water clarity improves</v>
      </c>
    </row>
    <row r="71" spans="1:6" x14ac:dyDescent="0.3">
      <c r="A71" s="140" t="str">
        <f>SUMMARY!B85</f>
        <v>Wescott Cove</v>
      </c>
      <c r="B71" s="139">
        <f>SUMMARY!C85</f>
        <v>74</v>
      </c>
      <c r="C71" s="179">
        <f>SUMMARY!AN85</f>
        <v>0.70588235294117696</v>
      </c>
      <c r="D71" s="179">
        <f>SUMMARY!AO85</f>
        <v>0</v>
      </c>
      <c r="E71" s="179">
        <f>SUMMARY!AP85</f>
        <v>0</v>
      </c>
      <c r="F71" s="298" t="str">
        <f>SUMMARY!AR85</f>
        <v>possible if water clarity improves</v>
      </c>
    </row>
    <row r="72" spans="1:6" x14ac:dyDescent="0.3">
      <c r="A72" s="140" t="str">
        <f>SUMMARY!B86</f>
        <v>Stamford Harbor</v>
      </c>
      <c r="B72" s="139">
        <f>SUMMARY!C86</f>
        <v>75</v>
      </c>
      <c r="C72" s="179">
        <f>SUMMARY!AN86</f>
        <v>0.92640406404529496</v>
      </c>
      <c r="D72" s="179">
        <f>SUMMARY!AO86</f>
        <v>0.35236581471107697</v>
      </c>
      <c r="E72" s="179">
        <f>SUMMARY!AP86</f>
        <v>0.260880086071684</v>
      </c>
      <c r="F72" s="298" t="str">
        <f>SUMMARY!AR86</f>
        <v>possible if water clarity improves</v>
      </c>
    </row>
    <row r="73" spans="1:6" x14ac:dyDescent="0.3">
      <c r="A73" s="140" t="str">
        <f>SUMMARY!B87</f>
        <v>Greenwich Cove</v>
      </c>
      <c r="B73" s="139">
        <f>SUMMARY!C87</f>
        <v>76</v>
      </c>
      <c r="C73" s="179">
        <f>SUMMARY!AN87</f>
        <v>0.87451022923770105</v>
      </c>
      <c r="D73" s="179">
        <f>SUMMARY!AO87</f>
        <v>0.18014871828141599</v>
      </c>
      <c r="E73" s="179">
        <f>SUMMARY!AP87</f>
        <v>0.14411897462513301</v>
      </c>
      <c r="F73" s="298" t="str">
        <f>SUMMARY!AR87</f>
        <v>possible if water clarity improves</v>
      </c>
    </row>
    <row r="74" spans="1:6" x14ac:dyDescent="0.3">
      <c r="A74" s="140" t="str">
        <f>SUMMARY!B88</f>
        <v>Mianus River</v>
      </c>
      <c r="B74" s="139">
        <f>SUMMARY!C88</f>
        <v>77</v>
      </c>
      <c r="C74" s="179">
        <f>SUMMARY!AN88</f>
        <v>0.81376820903420899</v>
      </c>
      <c r="D74" s="179">
        <f>SUMMARY!AO88</f>
        <v>0.23427848926954301</v>
      </c>
      <c r="E74" s="179">
        <f>SUMMARY!AP88</f>
        <v>0.187422791415634</v>
      </c>
      <c r="F74" s="298" t="str">
        <f>SUMMARY!AR88</f>
        <v>possible if water clarity improves</v>
      </c>
    </row>
    <row r="75" spans="1:6" x14ac:dyDescent="0.3">
      <c r="A75" s="140" t="str">
        <f>SUMMARY!B89</f>
        <v>Indian Harbor</v>
      </c>
      <c r="B75" s="139">
        <f>SUMMARY!C89</f>
        <v>78</v>
      </c>
      <c r="C75" s="179">
        <f>SUMMARY!AN89</f>
        <v>0.64285714285714302</v>
      </c>
      <c r="D75" s="179">
        <f>SUMMARY!AO89</f>
        <v>0</v>
      </c>
      <c r="E75" s="179">
        <f>SUMMARY!AP89</f>
        <v>0</v>
      </c>
      <c r="F75" s="298" t="str">
        <f>SUMMARY!AR89</f>
        <v>possible if water clarity improves</v>
      </c>
    </row>
    <row r="76" spans="1:6" x14ac:dyDescent="0.3">
      <c r="A76" s="140" t="str">
        <f>SUMMARY!B90</f>
        <v>Smith Cove</v>
      </c>
      <c r="B76" s="139">
        <f>SUMMARY!C90</f>
        <v>79</v>
      </c>
      <c r="C76" s="179">
        <f>SUMMARY!AN90</f>
        <v>1.0000284762365801</v>
      </c>
      <c r="D76" s="179">
        <f>SUMMARY!AO90</f>
        <v>0.555571375686989</v>
      </c>
      <c r="E76" s="179">
        <f>SUMMARY!AP90</f>
        <v>0.44445710054959098</v>
      </c>
      <c r="F76" s="298" t="str">
        <f>SUMMARY!AR90</f>
        <v>unlikely, too shallow</v>
      </c>
    </row>
    <row r="77" spans="1:6" x14ac:dyDescent="0.3">
      <c r="A77" s="140" t="str">
        <f>SUMMARY!B91</f>
        <v>Greenwich Harbor</v>
      </c>
      <c r="B77" s="139">
        <f>SUMMARY!C91</f>
        <v>80</v>
      </c>
      <c r="C77" s="179">
        <f>SUMMARY!AN91</f>
        <v>1</v>
      </c>
      <c r="D77" s="179">
        <f>SUMMARY!AO91</f>
        <v>0</v>
      </c>
      <c r="E77" s="179">
        <f>SUMMARY!AP91</f>
        <v>0</v>
      </c>
      <c r="F77" s="298" t="str">
        <f>SUMMARY!AR91</f>
        <v>possible if water clarity improves</v>
      </c>
    </row>
    <row r="78" spans="1:6" x14ac:dyDescent="0.3">
      <c r="A78" s="140" t="str">
        <f>SUMMARY!B92</f>
        <v>Captain Harbor</v>
      </c>
      <c r="B78" s="139">
        <f>SUMMARY!C92</f>
        <v>81</v>
      </c>
      <c r="C78" s="179">
        <f>SUMMARY!AN92</f>
        <v>0.74916555035383203</v>
      </c>
      <c r="D78" s="179">
        <f>SUMMARY!AO92</f>
        <v>0.237029651682546</v>
      </c>
      <c r="E78" s="179">
        <f>SUMMARY!AP92</f>
        <v>0.189623721346037</v>
      </c>
      <c r="F78" s="298" t="str">
        <f>SUMMARY!AR92</f>
        <v>possible if water clarity improves</v>
      </c>
    </row>
    <row r="79" spans="1:6" x14ac:dyDescent="0.3">
      <c r="A79" s="140" t="str">
        <f>SUMMARY!B93</f>
        <v>Byram River</v>
      </c>
      <c r="B79" s="139">
        <f>SUMMARY!C93</f>
        <v>82</v>
      </c>
      <c r="C79" s="179">
        <f>SUMMARY!AN93</f>
        <v>0.99995941459613502</v>
      </c>
      <c r="D79" s="179">
        <f>SUMMARY!AO93</f>
        <v>0.555533008108964</v>
      </c>
      <c r="E79" s="179">
        <f>SUMMARY!AP93</f>
        <v>0.44442640648717102</v>
      </c>
      <c r="F79" s="298" t="str">
        <f>SUMMARY!AR93</f>
        <v>unlikely, too shallow</v>
      </c>
    </row>
    <row r="80" spans="1:6" x14ac:dyDescent="0.3">
      <c r="A80" s="140" t="str">
        <f>SUMMARY!B94</f>
        <v>Kirby Pond, NY</v>
      </c>
      <c r="B80" s="139">
        <f>SUMMARY!C94</f>
        <v>83</v>
      </c>
      <c r="C80" s="179">
        <f>SUMMARY!AN94</f>
        <v>0.73506539200474497</v>
      </c>
      <c r="D80" s="179">
        <f>SUMMARY!AO94</f>
        <v>0.27589596582765202</v>
      </c>
      <c r="E80" s="179">
        <f>SUMMARY!AP94</f>
        <v>0.220716772662122</v>
      </c>
      <c r="F80" s="298" t="str">
        <f>SUMMARY!AR94</f>
        <v>possible if water clarity improves</v>
      </c>
    </row>
    <row r="81" spans="1:6" x14ac:dyDescent="0.3">
      <c r="A81" s="140" t="str">
        <f>SUMMARY!B95</f>
        <v>Playland Lake, NY</v>
      </c>
      <c r="B81" s="139">
        <f>SUMMARY!C95</f>
        <v>84</v>
      </c>
      <c r="C81" s="179">
        <f>SUMMARY!AN95</f>
        <v>0.99999450192982298</v>
      </c>
      <c r="D81" s="179">
        <f>SUMMARY!AO95</f>
        <v>0.55555250107212395</v>
      </c>
      <c r="E81" s="179">
        <f>SUMMARY!AP95</f>
        <v>0.44444200085769903</v>
      </c>
      <c r="F81" s="298" t="str">
        <f>SUMMARY!AR95</f>
        <v>unlikely, too shallow</v>
      </c>
    </row>
    <row r="82" spans="1:6" x14ac:dyDescent="0.3">
      <c r="B82" s="143"/>
      <c r="C82" s="144"/>
      <c r="D82" s="144"/>
      <c r="E82" s="144"/>
      <c r="F82" s="299"/>
    </row>
    <row r="83" spans="1:6" x14ac:dyDescent="0.3">
      <c r="B83" s="143"/>
      <c r="C83" s="144"/>
      <c r="D83" s="144"/>
      <c r="E83" s="144"/>
      <c r="F83" s="299"/>
    </row>
    <row r="84" spans="1:6" x14ac:dyDescent="0.3">
      <c r="B84" s="143"/>
      <c r="C84" s="144"/>
      <c r="D84" s="144"/>
      <c r="E84" s="144"/>
      <c r="F84" s="299"/>
    </row>
    <row r="85" spans="1:6" x14ac:dyDescent="0.3">
      <c r="B85" s="143"/>
      <c r="C85" s="144"/>
      <c r="D85" s="144"/>
      <c r="E85" s="144"/>
      <c r="F85" s="299"/>
    </row>
    <row r="86" spans="1:6" x14ac:dyDescent="0.3">
      <c r="B86" s="143"/>
      <c r="C86" s="145"/>
      <c r="D86" s="144"/>
      <c r="E86" s="144"/>
      <c r="F86" s="299"/>
    </row>
    <row r="87" spans="1:6" x14ac:dyDescent="0.3">
      <c r="B87" s="143"/>
      <c r="C87" s="144"/>
      <c r="D87" s="144"/>
      <c r="E87" s="144"/>
      <c r="F87" s="299"/>
    </row>
    <row r="88" spans="1:6" x14ac:dyDescent="0.3">
      <c r="B88" s="143"/>
      <c r="C88" s="144"/>
      <c r="D88" s="144"/>
      <c r="E88" s="144"/>
      <c r="F88" s="299"/>
    </row>
    <row r="89" spans="1:6" x14ac:dyDescent="0.3">
      <c r="B89" s="143"/>
      <c r="C89" s="144"/>
      <c r="D89" s="144"/>
      <c r="E89" s="144"/>
      <c r="F89" s="299"/>
    </row>
    <row r="90" spans="1:6" x14ac:dyDescent="0.3">
      <c r="B90" s="143"/>
      <c r="C90" s="144"/>
      <c r="D90" s="144"/>
      <c r="E90" s="144"/>
      <c r="F90" s="299"/>
    </row>
    <row r="91" spans="1:6" x14ac:dyDescent="0.3">
      <c r="B91" s="143"/>
      <c r="C91" s="144"/>
      <c r="D91" s="144"/>
      <c r="E91" s="144"/>
      <c r="F91" s="299"/>
    </row>
    <row r="92" spans="1:6" x14ac:dyDescent="0.3">
      <c r="B92" s="143"/>
      <c r="C92" s="144"/>
      <c r="D92" s="144"/>
      <c r="E92" s="144"/>
      <c r="F92" s="299"/>
    </row>
    <row r="93" spans="1:6" x14ac:dyDescent="0.3">
      <c r="B93" s="143"/>
      <c r="C93" s="144"/>
      <c r="D93" s="144"/>
      <c r="E93" s="144"/>
      <c r="F93" s="299"/>
    </row>
    <row r="94" spans="1:6" x14ac:dyDescent="0.3">
      <c r="B94" s="143"/>
      <c r="C94" s="144"/>
      <c r="D94" s="144"/>
      <c r="E94" s="144"/>
      <c r="F94" s="299"/>
    </row>
    <row r="95" spans="1:6" x14ac:dyDescent="0.3">
      <c r="B95" s="143"/>
      <c r="C95" s="144"/>
      <c r="D95" s="144"/>
      <c r="E95" s="144"/>
      <c r="F95" s="299"/>
    </row>
    <row r="96" spans="1:6" x14ac:dyDescent="0.3">
      <c r="B96" s="143"/>
      <c r="C96" s="144"/>
      <c r="D96" s="144"/>
      <c r="E96" s="144"/>
      <c r="F96" s="299"/>
    </row>
    <row r="97" spans="2:6" x14ac:dyDescent="0.3">
      <c r="B97" s="143"/>
      <c r="C97" s="144"/>
      <c r="D97" s="144"/>
      <c r="E97" s="144"/>
      <c r="F97" s="299"/>
    </row>
    <row r="98" spans="2:6" x14ac:dyDescent="0.3">
      <c r="B98" s="143"/>
      <c r="C98" s="144"/>
      <c r="D98" s="144"/>
      <c r="E98" s="144"/>
      <c r="F98" s="299"/>
    </row>
    <row r="99" spans="2:6" x14ac:dyDescent="0.3">
      <c r="B99" s="143"/>
      <c r="C99" s="144"/>
      <c r="D99" s="144"/>
      <c r="E99" s="144"/>
      <c r="F99" s="299"/>
    </row>
    <row r="100" spans="2:6" x14ac:dyDescent="0.3">
      <c r="B100" s="143"/>
      <c r="C100" s="144"/>
      <c r="D100" s="144"/>
      <c r="E100" s="144"/>
      <c r="F100" s="299"/>
    </row>
    <row r="101" spans="2:6" x14ac:dyDescent="0.3">
      <c r="B101" s="143"/>
      <c r="C101" s="144"/>
      <c r="D101" s="144"/>
      <c r="E101" s="144"/>
      <c r="F101" s="299"/>
    </row>
    <row r="102" spans="2:6" x14ac:dyDescent="0.3">
      <c r="B102" s="143"/>
      <c r="C102" s="144"/>
      <c r="D102" s="144"/>
      <c r="E102" s="144"/>
      <c r="F102" s="299"/>
    </row>
    <row r="103" spans="2:6" x14ac:dyDescent="0.3">
      <c r="B103" s="143"/>
      <c r="C103" s="144"/>
      <c r="D103" s="144"/>
      <c r="E103" s="144"/>
      <c r="F103" s="299"/>
    </row>
    <row r="104" spans="2:6" x14ac:dyDescent="0.3">
      <c r="B104" s="143"/>
      <c r="C104" s="144"/>
      <c r="D104" s="144"/>
      <c r="E104" s="144"/>
      <c r="F104" s="299"/>
    </row>
    <row r="105" spans="2:6" x14ac:dyDescent="0.3">
      <c r="B105" s="143"/>
      <c r="C105" s="144"/>
      <c r="D105" s="144"/>
      <c r="E105" s="144"/>
      <c r="F105" s="299"/>
    </row>
    <row r="106" spans="2:6" x14ac:dyDescent="0.3">
      <c r="B106" s="143"/>
      <c r="C106" s="144"/>
      <c r="D106" s="144"/>
      <c r="E106" s="144"/>
      <c r="F106" s="299"/>
    </row>
    <row r="107" spans="2:6" x14ac:dyDescent="0.3">
      <c r="B107" s="143"/>
      <c r="C107" s="144"/>
      <c r="D107" s="144"/>
      <c r="E107" s="144"/>
      <c r="F107" s="299"/>
    </row>
    <row r="108" spans="2:6" x14ac:dyDescent="0.3">
      <c r="B108" s="143"/>
      <c r="C108" s="144"/>
      <c r="D108" s="144"/>
      <c r="E108" s="144"/>
      <c r="F108" s="299"/>
    </row>
    <row r="109" spans="2:6" x14ac:dyDescent="0.3">
      <c r="B109" s="143"/>
      <c r="C109" s="144"/>
      <c r="D109" s="144"/>
      <c r="E109" s="144"/>
      <c r="F109" s="299"/>
    </row>
    <row r="110" spans="2:6" x14ac:dyDescent="0.3">
      <c r="B110" s="143"/>
      <c r="C110" s="144"/>
      <c r="D110" s="144"/>
      <c r="E110" s="144"/>
      <c r="F110" s="299"/>
    </row>
    <row r="111" spans="2:6" x14ac:dyDescent="0.3">
      <c r="B111" s="143"/>
      <c r="C111" s="144"/>
      <c r="D111" s="144"/>
      <c r="E111" s="144"/>
      <c r="F111" s="299"/>
    </row>
    <row r="112" spans="2:6" x14ac:dyDescent="0.3">
      <c r="B112" s="143"/>
      <c r="C112" s="144"/>
      <c r="D112" s="144"/>
      <c r="E112" s="144"/>
      <c r="F112" s="299"/>
    </row>
    <row r="113" spans="2:6" x14ac:dyDescent="0.3">
      <c r="B113" s="143"/>
      <c r="C113" s="144"/>
      <c r="D113" s="144"/>
      <c r="E113" s="144"/>
      <c r="F113" s="299"/>
    </row>
    <row r="114" spans="2:6" x14ac:dyDescent="0.3">
      <c r="B114" s="143"/>
      <c r="C114" s="144"/>
      <c r="D114" s="144"/>
      <c r="E114" s="144"/>
      <c r="F114" s="299"/>
    </row>
    <row r="115" spans="2:6" x14ac:dyDescent="0.3">
      <c r="B115" s="143"/>
      <c r="C115" s="144"/>
      <c r="D115" s="144"/>
      <c r="E115" s="144"/>
      <c r="F115" s="299"/>
    </row>
    <row r="116" spans="2:6" x14ac:dyDescent="0.3">
      <c r="B116" s="143"/>
      <c r="C116" s="144"/>
      <c r="D116" s="144"/>
      <c r="E116" s="144"/>
      <c r="F116" s="299"/>
    </row>
  </sheetData>
  <conditionalFormatting sqref="C23 C86:C116 C46:C84 C2:C11">
    <cfRule type="cellIs" dxfId="8" priority="15" operator="lessThan">
      <formula>0</formula>
    </cfRule>
  </conditionalFormatting>
  <conditionalFormatting sqref="C24">
    <cfRule type="cellIs" dxfId="7" priority="14" operator="lessThan">
      <formula>0</formula>
    </cfRule>
  </conditionalFormatting>
  <conditionalFormatting sqref="C85">
    <cfRule type="cellIs" dxfId="6" priority="9" operator="lessThan">
      <formula>0</formula>
    </cfRule>
  </conditionalFormatting>
  <conditionalFormatting sqref="C12:C22">
    <cfRule type="cellIs" dxfId="5" priority="7" operator="lessThan">
      <formula>0</formula>
    </cfRule>
  </conditionalFormatting>
  <conditionalFormatting sqref="C25:C45">
    <cfRule type="cellIs" dxfId="4" priority="6" operator="lessThan">
      <formula>0</formula>
    </cfRule>
  </conditionalFormatting>
  <conditionalFormatting sqref="F86:F116">
    <cfRule type="cellIs" dxfId="3" priority="2" operator="lessThan">
      <formula>0</formula>
    </cfRule>
  </conditionalFormatting>
  <pageMargins left="0.7" right="0.7" top="0.75" bottom="0.75" header="0.3" footer="0.3"/>
  <pageSetup orientation="portrait" horizontalDpi="0" verticalDpi="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90"/>
  <sheetViews>
    <sheetView workbookViewId="0">
      <pane ySplit="4050" topLeftCell="A85"/>
      <selection pane="bottomLeft" activeCell="L86" sqref="L86"/>
    </sheetView>
  </sheetViews>
  <sheetFormatPr defaultRowHeight="14.5" x14ac:dyDescent="0.35"/>
  <cols>
    <col min="1" max="1" width="17.7265625" style="150" customWidth="1"/>
    <col min="2" max="2" width="3.81640625" style="150" customWidth="1"/>
    <col min="3" max="3" width="9.08984375" style="155" bestFit="1" customWidth="1"/>
    <col min="4" max="4" width="8.1796875" style="155" bestFit="1" customWidth="1"/>
    <col min="5" max="5" width="8.26953125" style="155" bestFit="1" customWidth="1"/>
    <col min="6" max="6" width="10.6328125" style="155" customWidth="1"/>
    <col min="7" max="7" width="8" style="155" bestFit="1" customWidth="1"/>
    <col min="8" max="8" width="8.1796875" style="155" bestFit="1" customWidth="1"/>
    <col min="9" max="9" width="8.26953125" style="153" bestFit="1" customWidth="1"/>
    <col min="10" max="10" width="8.36328125" style="153" bestFit="1" customWidth="1"/>
    <col min="11" max="11" width="8.7265625" style="150"/>
    <col min="12" max="12" width="16.81640625" style="150" bestFit="1" customWidth="1"/>
    <col min="13" max="16384" width="8.7265625" style="150"/>
  </cols>
  <sheetData>
    <row r="1" spans="1:12" ht="72.5" thickBot="1" x14ac:dyDescent="0.4">
      <c r="A1" s="148"/>
      <c r="B1" s="149" t="s">
        <v>0</v>
      </c>
      <c r="C1" s="154" t="s">
        <v>521</v>
      </c>
      <c r="D1" s="154" t="s">
        <v>522</v>
      </c>
      <c r="E1" s="154" t="s">
        <v>523</v>
      </c>
      <c r="F1" s="154" t="s">
        <v>524</v>
      </c>
      <c r="G1" s="154" t="s">
        <v>389</v>
      </c>
      <c r="H1" s="154" t="s">
        <v>525</v>
      </c>
      <c r="I1" s="152" t="s">
        <v>526</v>
      </c>
      <c r="J1" s="152" t="s">
        <v>527</v>
      </c>
    </row>
    <row r="2" spans="1:12" x14ac:dyDescent="0.35">
      <c r="A2" s="160" t="str">
        <f>SUMMARY!B4</f>
        <v>Pawcatuck River, CT &amp; RI</v>
      </c>
      <c r="B2" s="161">
        <f>SUMMARY!C4</f>
        <v>1</v>
      </c>
      <c r="C2" s="162">
        <f>SUMMARY!F4</f>
        <v>2638462</v>
      </c>
      <c r="D2" s="162">
        <f>SUMMARY!AT4</f>
        <v>674558700</v>
      </c>
      <c r="E2" s="162">
        <f>SUMMARY!P4</f>
        <v>1135812.4579631763</v>
      </c>
      <c r="F2" s="162">
        <f>SUMMARY!Q4</f>
        <v>1135812.4579631763</v>
      </c>
      <c r="G2" s="162">
        <f>SUMMARY!T4</f>
        <v>2383058.8011511094</v>
      </c>
      <c r="H2" s="162">
        <f>SUMMARY!X4</f>
        <v>4766117.6023022188</v>
      </c>
      <c r="I2" s="163">
        <f>SUMMARY!Y4</f>
        <v>1.4677510904390463</v>
      </c>
      <c r="J2" s="164">
        <f>SUMMARY!Z4</f>
        <v>3.079502368060226</v>
      </c>
      <c r="L2" s="151"/>
    </row>
    <row r="3" spans="1:12" ht="43.5" x14ac:dyDescent="0.35">
      <c r="A3" s="165" t="str">
        <f>SUMMARY!B5</f>
        <v>Little Narragansett Bay</v>
      </c>
      <c r="B3" s="156">
        <f>SUMMARY!C5</f>
        <v>2</v>
      </c>
      <c r="C3" s="157">
        <f>SUMMARY!F5</f>
        <v>3308111</v>
      </c>
      <c r="D3" s="157">
        <f>SUMMARY!AT5</f>
        <v>6173818</v>
      </c>
      <c r="E3" s="157">
        <f>SUMMARY!P5</f>
        <v>10894.95301927179</v>
      </c>
      <c r="F3" s="159" t="s">
        <v>528</v>
      </c>
      <c r="G3" s="157">
        <f>SUMMARY!T5</f>
        <v>2940910.6742694015</v>
      </c>
      <c r="H3" s="157">
        <f>SUMMARY!X5</f>
        <v>5881821.3485388029</v>
      </c>
      <c r="I3" s="158">
        <f>SUMMARY!Y5</f>
        <v>1.4987522600233247</v>
      </c>
      <c r="J3" s="166">
        <f>SUMMARY!Z5</f>
        <v>10.773216991302478</v>
      </c>
      <c r="L3" s="151"/>
    </row>
    <row r="4" spans="1:12" x14ac:dyDescent="0.35">
      <c r="A4" s="165" t="str">
        <f>SUMMARY!B6</f>
        <v>Wequetequock Cove</v>
      </c>
      <c r="B4" s="156">
        <f>SUMMARY!C6</f>
        <v>3</v>
      </c>
      <c r="C4" s="157">
        <f>SUMMARY!F6</f>
        <v>818774</v>
      </c>
      <c r="D4" s="157">
        <f>SUMMARY!AT6</f>
        <v>33133170</v>
      </c>
      <c r="E4" s="157">
        <f>SUMMARY!P6</f>
        <v>57495.974116442689</v>
      </c>
      <c r="F4" s="157">
        <f>SUMMARY!Q6</f>
        <v>57495.974116442689</v>
      </c>
      <c r="G4" s="157">
        <f>SUMMARY!T6</f>
        <v>729527.61174572271</v>
      </c>
      <c r="H4" s="157">
        <f>SUMMARY!X6</f>
        <v>1459055.2234914454</v>
      </c>
      <c r="I4" s="158">
        <f>SUMMARY!Y6</f>
        <v>0.97532678914886872</v>
      </c>
      <c r="J4" s="166">
        <f>SUMMARY!Z6</f>
        <v>12.375263383109038</v>
      </c>
      <c r="L4" s="151"/>
    </row>
    <row r="5" spans="1:12" ht="36.5" thickBot="1" x14ac:dyDescent="0.4">
      <c r="A5" s="167" t="str">
        <f>SUMMARY!B7</f>
        <v>Little Narragansett B. + Wequetequock C. + Pawcatuck R. (30%)</v>
      </c>
      <c r="B5" s="168" t="str">
        <f>SUMMARY!C7</f>
        <v>1-2-3</v>
      </c>
      <c r="C5" s="169">
        <f>SUMMARY!F7</f>
        <v>6765347</v>
      </c>
      <c r="D5" s="169">
        <f>SUMMARY!AT7</f>
        <v>713865688</v>
      </c>
      <c r="E5" s="172"/>
      <c r="F5" s="173">
        <f>SUMMARY!Q7</f>
        <v>409134.66452466731</v>
      </c>
      <c r="G5" s="169">
        <f>SUMMARY!T7</f>
        <v>6027923.9931178689</v>
      </c>
      <c r="H5" s="169">
        <f>SUMMARY!X7</f>
        <v>12055847.986235738</v>
      </c>
      <c r="I5" s="170">
        <f>SUMMARY!Y7</f>
        <v>1.4316285430264428</v>
      </c>
      <c r="J5" s="171">
        <f>SUMMARY!Z7</f>
        <v>21.092683636981761</v>
      </c>
      <c r="L5" s="151"/>
    </row>
    <row r="6" spans="1:12" x14ac:dyDescent="0.35">
      <c r="A6" s="160" t="str">
        <f>SUMMARY!B8</f>
        <v>Quanaduck Cove</v>
      </c>
      <c r="B6" s="161">
        <f>SUMMARY!C8</f>
        <v>4</v>
      </c>
      <c r="C6" s="162">
        <f>SUMMARY!F8</f>
        <v>187968</v>
      </c>
      <c r="D6" s="162">
        <f>SUMMARY!AT8</f>
        <v>2060890</v>
      </c>
      <c r="E6" s="162">
        <f>SUMMARY!P8</f>
        <v>3676.9806232435535</v>
      </c>
      <c r="F6" s="162">
        <f>SUMMARY!Q8</f>
        <v>3676.9806232435535</v>
      </c>
      <c r="G6" s="162">
        <f>SUMMARY!T8</f>
        <v>166840.39767856244</v>
      </c>
      <c r="H6" s="162">
        <f>SUMMARY!X8</f>
        <v>333680.79535712488</v>
      </c>
      <c r="I6" s="163">
        <f>SUMMARY!Y8</f>
        <v>0.11266336128144597</v>
      </c>
      <c r="J6" s="164">
        <f>SUMMARY!Z8</f>
        <v>5.1120204118505495</v>
      </c>
      <c r="L6" s="151"/>
    </row>
    <row r="7" spans="1:12" x14ac:dyDescent="0.35">
      <c r="A7" s="165" t="str">
        <f>SUMMARY!B9</f>
        <v>Stonington Harbor</v>
      </c>
      <c r="B7" s="156">
        <f>SUMMARY!C9</f>
        <v>5</v>
      </c>
      <c r="C7" s="157">
        <f>SUMMARY!F9</f>
        <v>1797631</v>
      </c>
      <c r="D7" s="157">
        <f>SUMMARY!AT9</f>
        <v>6217678</v>
      </c>
      <c r="E7" s="157">
        <f>SUMMARY!P9</f>
        <v>10971.57616381996</v>
      </c>
      <c r="F7" s="159">
        <f>SUMMARY!Q9</f>
        <v>14648.556787063513</v>
      </c>
      <c r="G7" s="157">
        <f>SUMMARY!T9</f>
        <v>1592701.025711494</v>
      </c>
      <c r="H7" s="157">
        <f>SUMMARY!X9</f>
        <v>3185402.0514229881</v>
      </c>
      <c r="I7" s="158">
        <f>SUMMARY!Y9</f>
        <v>2.4227803598630739</v>
      </c>
      <c r="J7" s="166">
        <f>SUMMARY!Z9</f>
        <v>263.42286276524845</v>
      </c>
      <c r="L7" s="151"/>
    </row>
    <row r="8" spans="1:12" ht="24.5" thickBot="1" x14ac:dyDescent="0.4">
      <c r="A8" s="167" t="str">
        <f>SUMMARY!B10</f>
        <v>Quanaduck C. + Stonington H.</v>
      </c>
      <c r="B8" s="168" t="str">
        <f>SUMMARY!C10</f>
        <v xml:space="preserve"> 4-5</v>
      </c>
      <c r="C8" s="169">
        <f>SUMMARY!F10</f>
        <v>1985599</v>
      </c>
      <c r="D8" s="169">
        <f>SUMMARY!AT10</f>
        <v>8278568</v>
      </c>
      <c r="E8" s="172"/>
      <c r="F8" s="173">
        <f>SUMMARY!Q10</f>
        <v>14648.556787063513</v>
      </c>
      <c r="G8" s="169">
        <f>SUMMARY!T10</f>
        <v>1759240.6694987551</v>
      </c>
      <c r="H8" s="169">
        <f>SUMMARY!X10</f>
        <v>3518481.3389975103</v>
      </c>
      <c r="I8" s="170">
        <f>SUMMARY!Y10</f>
        <v>2.2041109164059853</v>
      </c>
      <c r="J8" s="171">
        <f>SUMMARY!Z10</f>
        <v>264.7060471958539</v>
      </c>
      <c r="L8" s="151"/>
    </row>
    <row r="9" spans="1:12" ht="15" thickBot="1" x14ac:dyDescent="0.4">
      <c r="A9" s="174" t="str">
        <f>SUMMARY!B11</f>
        <v>Quiambog Cove</v>
      </c>
      <c r="B9" s="175">
        <f>SUMMARY!C11</f>
        <v>6</v>
      </c>
      <c r="C9" s="176">
        <f>SUMMARY!F11</f>
        <v>293721</v>
      </c>
      <c r="D9" s="176">
        <f>SUMMARY!AT11</f>
        <v>19562740</v>
      </c>
      <c r="E9" s="176">
        <f>SUMMARY!P11</f>
        <v>34126.55611021872</v>
      </c>
      <c r="F9" s="176">
        <f>SUMMARY!Q11</f>
        <v>34126.55611021872</v>
      </c>
      <c r="G9" s="176">
        <f>SUMMARY!T11</f>
        <v>260941.74175042173</v>
      </c>
      <c r="H9" s="176">
        <f>SUMMARY!X11</f>
        <v>521883.48350084346</v>
      </c>
      <c r="I9" s="177">
        <f>SUMMARY!Y11</f>
        <v>0.94219943013157947</v>
      </c>
      <c r="J9" s="178">
        <f>SUMMARY!Z11</f>
        <v>7.204335520429793</v>
      </c>
      <c r="L9" s="151"/>
    </row>
    <row r="10" spans="1:12" ht="15" thickBot="1" x14ac:dyDescent="0.4">
      <c r="A10" s="174" t="str">
        <f>SUMMARY!B12</f>
        <v>Wilcox Cove</v>
      </c>
      <c r="B10" s="175">
        <f>SUMMARY!C12</f>
        <v>7</v>
      </c>
      <c r="C10" s="176">
        <f>SUMMARY!F12</f>
        <v>39059</v>
      </c>
      <c r="D10" s="176">
        <f>SUMMARY!AT12</f>
        <v>199746.7</v>
      </c>
      <c r="E10" s="176">
        <f>SUMMARY!P12</f>
        <v>364.79753445109816</v>
      </c>
      <c r="F10" s="176">
        <f>SUMMARY!Q12</f>
        <v>364.79753445109816</v>
      </c>
      <c r="G10" s="176">
        <f>SUMMARY!T12</f>
        <v>34731.26171228497</v>
      </c>
      <c r="H10" s="176">
        <f>SUMMARY!X12</f>
        <v>69462.523424569939</v>
      </c>
      <c r="I10" s="177">
        <f>SUMMARY!Y12</f>
        <v>0.51214578068627503</v>
      </c>
      <c r="J10" s="178">
        <f>SUMMARY!Z12</f>
        <v>48.759839264324754</v>
      </c>
      <c r="L10" s="151"/>
    </row>
    <row r="11" spans="1:12" ht="15" thickBot="1" x14ac:dyDescent="0.4">
      <c r="A11" s="174" t="str">
        <f>SUMMARY!B13</f>
        <v>Williams Cove</v>
      </c>
      <c r="B11" s="175">
        <f>SUMMARY!C13</f>
        <v>8</v>
      </c>
      <c r="C11" s="176">
        <f>SUMMARY!F13</f>
        <v>57454</v>
      </c>
      <c r="D11" s="176">
        <f>SUMMARY!AT13</f>
        <v>6256341</v>
      </c>
      <c r="E11" s="176">
        <f>SUMMARY!P13</f>
        <v>11039.115698541485</v>
      </c>
      <c r="F11" s="176">
        <f>SUMMARY!Q13</f>
        <v>11039.115698541485</v>
      </c>
      <c r="G11" s="176">
        <f>SUMMARY!T13</f>
        <v>51306.422383562902</v>
      </c>
      <c r="H11" s="176">
        <f>SUMMARY!X13</f>
        <v>102612.8447671258</v>
      </c>
      <c r="I11" s="177">
        <f>SUMMARY!Y13</f>
        <v>0.33986561522178854</v>
      </c>
      <c r="J11" s="178">
        <f>SUMMARY!Z13</f>
        <v>1.5795910908445687</v>
      </c>
      <c r="L11" s="151"/>
    </row>
    <row r="12" spans="1:12" x14ac:dyDescent="0.35">
      <c r="A12" s="160" t="str">
        <f>SUMMARY!B14</f>
        <v>Mystic River</v>
      </c>
      <c r="B12" s="161">
        <f>SUMMARY!C14</f>
        <v>9</v>
      </c>
      <c r="C12" s="162">
        <f>SUMMARY!F14</f>
        <v>1171700</v>
      </c>
      <c r="D12" s="162">
        <f>SUMMARY!AT14</f>
        <v>67222740</v>
      </c>
      <c r="E12" s="162">
        <f>SUMMARY!P14</f>
        <v>115829.21837064794</v>
      </c>
      <c r="F12" s="162">
        <f>SUMMARY!Q14</f>
        <v>115829.21837064794</v>
      </c>
      <c r="G12" s="162">
        <f>SUMMARY!T14</f>
        <v>1046796.7957546782</v>
      </c>
      <c r="H12" s="162">
        <f>SUMMARY!X14</f>
        <v>2093593.5915093564</v>
      </c>
      <c r="I12" s="163">
        <f>SUMMARY!Y14</f>
        <v>0.92713228208056775</v>
      </c>
      <c r="J12" s="164">
        <f>SUMMARY!Z14</f>
        <v>8.3788798351124694</v>
      </c>
      <c r="L12" s="151"/>
    </row>
    <row r="13" spans="1:12" x14ac:dyDescent="0.35">
      <c r="A13" s="165" t="str">
        <f>SUMMARY!B15</f>
        <v>Bebee Cove</v>
      </c>
      <c r="B13" s="156">
        <f>SUMMARY!C15</f>
        <v>10</v>
      </c>
      <c r="C13" s="157">
        <f>SUMMARY!F15</f>
        <v>534864</v>
      </c>
      <c r="D13" s="157">
        <f>SUMMARY!AT15</f>
        <v>1744282</v>
      </c>
      <c r="E13" s="157">
        <f>SUMMARY!P15</f>
        <v>3117.2928942999542</v>
      </c>
      <c r="F13" s="157">
        <f>SUMMARY!Q15</f>
        <v>3117.2928942999542</v>
      </c>
      <c r="G13" s="157">
        <f>SUMMARY!T15</f>
        <v>468861.79688625655</v>
      </c>
      <c r="H13" s="157">
        <f>SUMMARY!X15</f>
        <v>937723.59377251309</v>
      </c>
      <c r="I13" s="158">
        <f>SUMMARY!Y15</f>
        <v>0.85466571219511056</v>
      </c>
      <c r="J13" s="166">
        <f>SUMMARY!Z15</f>
        <v>128.54746574811696</v>
      </c>
      <c r="L13" s="151"/>
    </row>
    <row r="14" spans="1:12" ht="24.5" thickBot="1" x14ac:dyDescent="0.4">
      <c r="A14" s="167" t="str">
        <f>SUMMARY!B16</f>
        <v>Mystic R. + Williams C. + Beebe C.</v>
      </c>
      <c r="B14" s="168" t="str">
        <f>SUMMARY!C16</f>
        <v xml:space="preserve"> 8-9-10</v>
      </c>
      <c r="C14" s="169">
        <f>SUMMARY!F16</f>
        <v>1764018</v>
      </c>
      <c r="D14" s="169">
        <f>SUMMARY!AT16</f>
        <v>75223363</v>
      </c>
      <c r="E14" s="172"/>
      <c r="F14" s="173">
        <f>SUMMARY!Q16</f>
        <v>129985.62696348938</v>
      </c>
      <c r="G14" s="169">
        <f>SUMMARY!T16</f>
        <v>1575973.704918986</v>
      </c>
      <c r="H14" s="169">
        <f>SUMMARY!X16</f>
        <v>3151947.4098379719</v>
      </c>
      <c r="I14" s="170">
        <f>SUMMARY!Y16</f>
        <v>0.87829647361512353</v>
      </c>
      <c r="J14" s="171">
        <f>SUMMARY!Z16</f>
        <v>10.648655392717348</v>
      </c>
      <c r="L14" s="151"/>
    </row>
    <row r="15" spans="1:12" ht="15" thickBot="1" x14ac:dyDescent="0.4">
      <c r="A15" s="174" t="str">
        <f>SUMMARY!B17</f>
        <v>West Cove</v>
      </c>
      <c r="B15" s="175">
        <f>SUMMARY!C17</f>
        <v>11</v>
      </c>
      <c r="C15" s="176">
        <f>SUMMARY!F17</f>
        <v>166047</v>
      </c>
      <c r="D15" s="176">
        <f>SUMMARY!AT17</f>
        <v>251578.8</v>
      </c>
      <c r="E15" s="176">
        <f>SUMMARY!P17</f>
        <v>458.39975652723939</v>
      </c>
      <c r="F15" s="176">
        <f>SUMMARY!Q17</f>
        <v>458.39975652723939</v>
      </c>
      <c r="G15" s="176">
        <f>SUMMARY!T17</f>
        <v>145789.26948366605</v>
      </c>
      <c r="H15" s="176">
        <f>SUMMARY!X17</f>
        <v>291578.5389673321</v>
      </c>
      <c r="I15" s="177">
        <f>SUMMARY!Y17</f>
        <v>1.8917994872665682</v>
      </c>
      <c r="J15" s="178">
        <f>SUMMARY!Z17</f>
        <v>601.66712859451081</v>
      </c>
      <c r="L15" s="151"/>
    </row>
    <row r="16" spans="1:12" ht="15" thickBot="1" x14ac:dyDescent="0.4">
      <c r="A16" s="174" t="str">
        <f>SUMMARY!B18</f>
        <v>Palmer Cove</v>
      </c>
      <c r="B16" s="175">
        <f>SUMMARY!C18</f>
        <v>12</v>
      </c>
      <c r="C16" s="176">
        <f>SUMMARY!F18</f>
        <v>599547</v>
      </c>
      <c r="D16" s="176">
        <f>SUMMARY!AT18</f>
        <v>9731446</v>
      </c>
      <c r="E16" s="176">
        <f>SUMMARY!P18</f>
        <v>17095.140746477602</v>
      </c>
      <c r="F16" s="176">
        <f>SUMMARY!Q18</f>
        <v>17095.140746477602</v>
      </c>
      <c r="G16" s="176">
        <f>SUMMARY!T18</f>
        <v>529879.65643892146</v>
      </c>
      <c r="H16" s="176">
        <f>SUMMARY!X18</f>
        <v>1059759.3128778429</v>
      </c>
      <c r="I16" s="177">
        <f>SUMMARY!Y18</f>
        <v>0.39251613967002574</v>
      </c>
      <c r="J16" s="178">
        <f>SUMMARY!Z18</f>
        <v>12.166399816154765</v>
      </c>
      <c r="L16" s="151"/>
    </row>
    <row r="17" spans="1:12" ht="15" thickBot="1" x14ac:dyDescent="0.4">
      <c r="A17" s="174" t="str">
        <f>SUMMARY!B19</f>
        <v>Venetian Harbor</v>
      </c>
      <c r="B17" s="175">
        <f>SUMMARY!C19</f>
        <v>13</v>
      </c>
      <c r="C17" s="176">
        <f>SUMMARY!F19</f>
        <v>81396</v>
      </c>
      <c r="D17" s="176">
        <f>SUMMARY!AT19</f>
        <v>199826</v>
      </c>
      <c r="E17" s="176">
        <f>SUMMARY!P19</f>
        <v>364.94091155417726</v>
      </c>
      <c r="F17" s="176">
        <f>SUMMARY!Q19</f>
        <v>364.94091155417726</v>
      </c>
      <c r="G17" s="176">
        <f>SUMMARY!T19</f>
        <v>72312.207882709539</v>
      </c>
      <c r="H17" s="176">
        <f>SUMMARY!X19</f>
        <v>144624.41576541908</v>
      </c>
      <c r="I17" s="177">
        <f>SUMMARY!Y19</f>
        <v>1.6467163642934202</v>
      </c>
      <c r="J17" s="178">
        <f>SUMMARY!Z19</f>
        <v>326.29308550671436</v>
      </c>
      <c r="L17" s="151"/>
    </row>
    <row r="18" spans="1:12" ht="15" thickBot="1" x14ac:dyDescent="0.4">
      <c r="A18" s="174" t="str">
        <f>SUMMARY!B20</f>
        <v>Mumford Cove</v>
      </c>
      <c r="B18" s="175">
        <f>SUMMARY!C20</f>
        <v>14</v>
      </c>
      <c r="C18" s="176">
        <f>SUMMARY!F20</f>
        <v>1165426</v>
      </c>
      <c r="D18" s="176">
        <f>SUMMARY!AT20</f>
        <v>8323227</v>
      </c>
      <c r="E18" s="176">
        <f>SUMMARY!P20</f>
        <v>14644.208357582576</v>
      </c>
      <c r="F18" s="176">
        <f>SUMMARY!Q20</f>
        <v>14644.208357582576</v>
      </c>
      <c r="G18" s="176">
        <f>SUMMARY!T20</f>
        <v>1046319.4958095259</v>
      </c>
      <c r="H18" s="176">
        <f>SUMMARY!X20</f>
        <v>2092638.9916190519</v>
      </c>
      <c r="I18" s="177">
        <f>SUMMARY!Y20</f>
        <v>1.2037531536784649</v>
      </c>
      <c r="J18" s="178">
        <f>SUMMARY!Z20</f>
        <v>86.0074073026843</v>
      </c>
      <c r="L18" s="151"/>
    </row>
    <row r="19" spans="1:12" ht="15" thickBot="1" x14ac:dyDescent="0.4">
      <c r="A19" s="174" t="str">
        <f>SUMMARY!B21</f>
        <v>Poquonock River</v>
      </c>
      <c r="B19" s="175">
        <f>SUMMARY!C21</f>
        <v>15</v>
      </c>
      <c r="C19" s="176">
        <f>SUMMARY!F21</f>
        <v>949451</v>
      </c>
      <c r="D19" s="176">
        <f>SUMMARY!AT21</f>
        <v>48313330</v>
      </c>
      <c r="E19" s="176">
        <f>SUMMARY!P21</f>
        <v>83522.47977564497</v>
      </c>
      <c r="F19" s="176">
        <f>SUMMARY!Q21</f>
        <v>83522.47977564497</v>
      </c>
      <c r="G19" s="176">
        <f>SUMMARY!T21</f>
        <v>857923.90223165578</v>
      </c>
      <c r="H19" s="176">
        <f>SUMMARY!X21</f>
        <v>1715847.8044633116</v>
      </c>
      <c r="I19" s="177">
        <f>SUMMARY!Y21</f>
        <v>1.139276269249172</v>
      </c>
      <c r="J19" s="178">
        <f>SUMMARY!Z21</f>
        <v>11.702386534255945</v>
      </c>
      <c r="L19" s="151"/>
    </row>
    <row r="20" spans="1:12" ht="15" thickBot="1" x14ac:dyDescent="0.4">
      <c r="A20" s="174" t="str">
        <f>SUMMARY!B22</f>
        <v>Baker Cove</v>
      </c>
      <c r="B20" s="175">
        <f>SUMMARY!C22</f>
        <v>16</v>
      </c>
      <c r="C20" s="176">
        <f>SUMMARY!F22</f>
        <v>663739</v>
      </c>
      <c r="D20" s="176">
        <f>SUMMARY!AT22</f>
        <v>6095154</v>
      </c>
      <c r="E20" s="176">
        <f>SUMMARY!P22</f>
        <v>10757.513842095992</v>
      </c>
      <c r="F20" s="176">
        <f>SUMMARY!Q22</f>
        <v>10757.513842095992</v>
      </c>
      <c r="G20" s="176">
        <f>SUMMARY!T22</f>
        <v>655906.88568736496</v>
      </c>
      <c r="H20" s="176">
        <f>SUMMARY!X22</f>
        <v>1311813.7713747299</v>
      </c>
      <c r="I20" s="177">
        <f>SUMMARY!Y22</f>
        <v>0.5613871651468284</v>
      </c>
      <c r="J20" s="178">
        <f>SUMMARY!Z22</f>
        <v>34.228885276021281</v>
      </c>
      <c r="L20" s="151"/>
    </row>
    <row r="21" spans="1:12" ht="15" thickBot="1" x14ac:dyDescent="0.4">
      <c r="A21" s="174" t="str">
        <f>SUMMARY!B24</f>
        <v>Alewife Cove</v>
      </c>
      <c r="B21" s="175">
        <f>SUMMARY!C24</f>
        <v>18</v>
      </c>
      <c r="C21" s="176">
        <f>SUMMARY!F24</f>
        <v>167340</v>
      </c>
      <c r="D21" s="176">
        <f>SUMMARY!AT24</f>
        <v>5266419</v>
      </c>
      <c r="E21" s="176">
        <f>SUMMARY!P24</f>
        <v>9308.4491850235627</v>
      </c>
      <c r="F21" s="176">
        <f>SUMMARY!Q24</f>
        <v>9308.4491850235627</v>
      </c>
      <c r="G21" s="176">
        <f>SUMMARY!T24</f>
        <v>151743.90732418571</v>
      </c>
      <c r="H21" s="176">
        <f>SUMMARY!X24</f>
        <v>303487.81464837142</v>
      </c>
      <c r="I21" s="177">
        <f>SUMMARY!Y24</f>
        <v>0.11027790370686501</v>
      </c>
      <c r="J21" s="178">
        <f>SUMMARY!Z24</f>
        <v>1.7977215825514163</v>
      </c>
      <c r="L21" s="151"/>
    </row>
    <row r="22" spans="1:12" ht="15" thickBot="1" x14ac:dyDescent="0.4">
      <c r="A22" s="174" t="str">
        <f>SUMMARY!B25</f>
        <v>Goshen Cove</v>
      </c>
      <c r="B22" s="175">
        <f>SUMMARY!C25</f>
        <v>19</v>
      </c>
      <c r="C22" s="176">
        <f>SUMMARY!F25</f>
        <v>114245</v>
      </c>
      <c r="D22" s="176">
        <f>SUMMARY!AT25</f>
        <v>3825004</v>
      </c>
      <c r="E22" s="176">
        <f>SUMMARY!P25</f>
        <v>6782.3883330489934</v>
      </c>
      <c r="F22" s="176">
        <f>SUMMARY!Q25</f>
        <v>6782.3883330489934</v>
      </c>
      <c r="G22" s="176">
        <f>SUMMARY!T25</f>
        <v>104831.20926520319</v>
      </c>
      <c r="H22" s="176">
        <f>SUMMARY!X25</f>
        <v>209662.41853040637</v>
      </c>
      <c r="I22" s="177">
        <f>SUMMARY!Y25</f>
        <v>0.10897995053265264</v>
      </c>
      <c r="J22" s="178">
        <f>SUMMARY!Z25</f>
        <v>1.6844361365053488</v>
      </c>
      <c r="L22" s="151"/>
    </row>
    <row r="23" spans="1:12" ht="15" thickBot="1" x14ac:dyDescent="0.4">
      <c r="A23" s="174" t="str">
        <f>SUMMARY!B26</f>
        <v>Jordan Cove</v>
      </c>
      <c r="B23" s="175">
        <f>SUMMARY!C26</f>
        <v>20</v>
      </c>
      <c r="C23" s="176">
        <f>SUMMARY!F26</f>
        <v>545603</v>
      </c>
      <c r="D23" s="176">
        <f>SUMMARY!AT26</f>
        <v>32476090</v>
      </c>
      <c r="E23" s="176">
        <f>SUMMARY!P26</f>
        <v>56367.033125008726</v>
      </c>
      <c r="F23" s="176">
        <f>SUMMARY!Q26</f>
        <v>56367.033125008726</v>
      </c>
      <c r="G23" s="176">
        <f>SUMMARY!T26</f>
        <v>501518.27931755822</v>
      </c>
      <c r="H23" s="176">
        <f>SUMMARY!X26</f>
        <v>1003036.5586351164</v>
      </c>
      <c r="I23" s="177">
        <f>SUMMARY!Y26</f>
        <v>0.33408176182374089</v>
      </c>
      <c r="J23" s="178">
        <f>SUMMARY!Z26</f>
        <v>2.9724486291417684</v>
      </c>
      <c r="L23" s="151"/>
    </row>
    <row r="24" spans="1:12" ht="15" thickBot="1" x14ac:dyDescent="0.4">
      <c r="A24" s="174" t="str">
        <f>SUMMARY!B27</f>
        <v>Gardners Pond</v>
      </c>
      <c r="B24" s="175">
        <f>SUMMARY!C27</f>
        <v>21</v>
      </c>
      <c r="C24" s="176">
        <f>SUMMARY!F27</f>
        <v>13704</v>
      </c>
      <c r="D24" s="176">
        <f>SUMMARY!AT27</f>
        <v>82416.58</v>
      </c>
      <c r="E24" s="176">
        <f>SUMMARY!P27</f>
        <v>151.85584767348686</v>
      </c>
      <c r="F24" s="176">
        <f>SUMMARY!Q27</f>
        <v>151.85584767348686</v>
      </c>
      <c r="G24" s="176">
        <f>SUMMARY!T27</f>
        <v>12818.721725473824</v>
      </c>
      <c r="H24" s="176">
        <f>SUMMARY!X27</f>
        <v>25637.443450947649</v>
      </c>
      <c r="I24" s="177">
        <f>SUMMARY!Y27</f>
        <v>0.10690613536579797</v>
      </c>
      <c r="J24" s="178">
        <f>SUMMARY!Z27</f>
        <v>9.024347899638137</v>
      </c>
      <c r="L24" s="151"/>
    </row>
    <row r="25" spans="1:12" x14ac:dyDescent="0.35">
      <c r="A25" s="160" t="str">
        <f>SUMMARY!B28</f>
        <v>Niantic River</v>
      </c>
      <c r="B25" s="161">
        <f>SUMMARY!C28</f>
        <v>22</v>
      </c>
      <c r="C25" s="162">
        <f>SUMMARY!F28</f>
        <v>3210101</v>
      </c>
      <c r="D25" s="162">
        <f>SUMMARY!AT28</f>
        <v>73102630</v>
      </c>
      <c r="E25" s="162">
        <f>SUMMARY!P28</f>
        <v>125855.0797523786</v>
      </c>
      <c r="F25" s="162">
        <f>SUMMARY!Q28</f>
        <v>125855.0797523786</v>
      </c>
      <c r="G25" s="162">
        <f>SUMMARY!T28</f>
        <v>2996950.3208473371</v>
      </c>
      <c r="H25" s="162">
        <f>SUMMARY!X28</f>
        <v>5993900.6416946743</v>
      </c>
      <c r="I25" s="163">
        <f>SUMMARY!Y28</f>
        <v>1.6817745751776538</v>
      </c>
      <c r="J25" s="164">
        <f>SUMMARY!Z28</f>
        <v>40.047607634020082</v>
      </c>
      <c r="L25" s="151"/>
    </row>
    <row r="26" spans="1:12" x14ac:dyDescent="0.35">
      <c r="A26" s="165" t="str">
        <f>SUMMARY!B29</f>
        <v>Niantic Bay</v>
      </c>
      <c r="B26" s="156">
        <f>SUMMARY!C29</f>
        <v>23</v>
      </c>
      <c r="C26" s="157">
        <f>SUMMARY!F29</f>
        <v>8144653</v>
      </c>
      <c r="D26" s="157">
        <f>SUMMARY!AT29</f>
        <v>3113934</v>
      </c>
      <c r="E26" s="157">
        <f>SUMMARY!P29</f>
        <v>5532.907209134255</v>
      </c>
      <c r="F26" s="159">
        <f>SUMMARY!Q29</f>
        <v>131387.98696151286</v>
      </c>
      <c r="G26" s="157">
        <f>SUMMARY!T29</f>
        <v>7480049.2305281879</v>
      </c>
      <c r="H26" s="157">
        <f>SUMMARY!X29</f>
        <v>14960098.461056376</v>
      </c>
      <c r="I26" s="158">
        <f>SUMMARY!Y29</f>
        <v>4.3931640977889961</v>
      </c>
      <c r="J26" s="166">
        <f>SUMMARY!Z29</f>
        <v>250.10721671895735</v>
      </c>
      <c r="L26" s="151"/>
    </row>
    <row r="27" spans="1:12" ht="24.5" thickBot="1" x14ac:dyDescent="0.4">
      <c r="A27" s="167" t="str">
        <f>SUMMARY!B30</f>
        <v>Niantic River + Niantic Bay</v>
      </c>
      <c r="B27" s="168" t="str">
        <f>SUMMARY!C30</f>
        <v>22-23</v>
      </c>
      <c r="C27" s="169">
        <f>SUMMARY!F30</f>
        <v>11354754</v>
      </c>
      <c r="D27" s="169">
        <f>SUMMARY!AT30</f>
        <v>76216564</v>
      </c>
      <c r="E27" s="172"/>
      <c r="F27" s="173">
        <f>SUMMARY!Q30</f>
        <v>131387.98696151286</v>
      </c>
      <c r="G27" s="169">
        <f>SUMMARY!T30</f>
        <v>10428205.955555977</v>
      </c>
      <c r="H27" s="169">
        <f>SUMMARY!X30</f>
        <v>20856411.911111955</v>
      </c>
      <c r="I27" s="170">
        <f>SUMMARY!Y30</f>
        <v>3.6344965513199345</v>
      </c>
      <c r="J27" s="171">
        <f>SUMMARY!Z30</f>
        <v>288.46837110781314</v>
      </c>
      <c r="L27" s="151"/>
    </row>
    <row r="28" spans="1:12" ht="15" thickBot="1" x14ac:dyDescent="0.4">
      <c r="A28" s="174" t="str">
        <f>SUMMARY!B31</f>
        <v>Pattagansett River</v>
      </c>
      <c r="B28" s="175">
        <f>SUMMARY!C31</f>
        <v>24</v>
      </c>
      <c r="C28" s="176">
        <f>SUMMARY!F31</f>
        <v>124681</v>
      </c>
      <c r="D28" s="176">
        <f>SUMMARY!AT31</f>
        <v>23202290</v>
      </c>
      <c r="E28" s="176">
        <f>SUMMARY!P31</f>
        <v>40406.628949919745</v>
      </c>
      <c r="F28" s="176">
        <f>SUMMARY!Q31</f>
        <v>40406.628949919745</v>
      </c>
      <c r="G28" s="176">
        <f>SUMMARY!T31</f>
        <v>118197.58972408887</v>
      </c>
      <c r="H28" s="176">
        <f>SUMMARY!X31</f>
        <v>236395.17944817775</v>
      </c>
      <c r="I28" s="177">
        <f>SUMMARY!Y31</f>
        <v>0.10548523052885045</v>
      </c>
      <c r="J28" s="178">
        <f>SUMMARY!Z31</f>
        <v>0.30856570627193497</v>
      </c>
      <c r="L28" s="151"/>
    </row>
    <row r="29" spans="1:12" ht="15" thickBot="1" x14ac:dyDescent="0.4">
      <c r="A29" s="174" t="str">
        <f>SUMMARY!B32</f>
        <v>Bride Brook</v>
      </c>
      <c r="B29" s="175">
        <f>SUMMARY!C32</f>
        <v>25</v>
      </c>
      <c r="C29" s="176">
        <f>SUMMARY!F32</f>
        <v>72011</v>
      </c>
      <c r="D29" s="176">
        <f>SUMMARY!AT32</f>
        <v>10979490</v>
      </c>
      <c r="E29" s="176">
        <f>SUMMARY!P32</f>
        <v>19264.308447134408</v>
      </c>
      <c r="F29" s="176">
        <f>SUMMARY!Q32</f>
        <v>19264.308447134408</v>
      </c>
      <c r="G29" s="176">
        <f>SUMMARY!T32</f>
        <v>71665.345641105872</v>
      </c>
      <c r="H29" s="176">
        <f>SUMMARY!X32</f>
        <v>143330.69128221174</v>
      </c>
      <c r="I29" s="177">
        <f>SUMMARY!Y32</f>
        <v>0.10048231729827292</v>
      </c>
      <c r="J29" s="178">
        <f>SUMMARY!Z32</f>
        <v>0.37380526893874427</v>
      </c>
      <c r="L29" s="151"/>
    </row>
    <row r="30" spans="1:12" ht="15" thickBot="1" x14ac:dyDescent="0.4">
      <c r="A30" s="174" t="str">
        <f>SUMMARY!B33</f>
        <v>Four Mile River</v>
      </c>
      <c r="B30" s="175">
        <f>SUMMARY!C33</f>
        <v>26</v>
      </c>
      <c r="C30" s="176">
        <f>SUMMARY!F33</f>
        <v>79423</v>
      </c>
      <c r="D30" s="176">
        <f>SUMMARY!AT33</f>
        <v>20322810</v>
      </c>
      <c r="E30" s="176">
        <f>SUMMARY!P33</f>
        <v>35438.962308736103</v>
      </c>
      <c r="F30" s="176">
        <f>SUMMARY!Q33</f>
        <v>35438.962308736103</v>
      </c>
      <c r="G30" s="176">
        <f>SUMMARY!T33</f>
        <v>80026.610815824621</v>
      </c>
      <c r="H30" s="176">
        <f>SUMMARY!X33</f>
        <v>160053.22163164924</v>
      </c>
      <c r="I30" s="177">
        <f>SUMMARY!Y33</f>
        <v>9.9245737374516849E-2</v>
      </c>
      <c r="J30" s="178">
        <f>SUMMARY!Z33</f>
        <v>0.22411209252710354</v>
      </c>
      <c r="L30" s="151"/>
    </row>
    <row r="31" spans="1:12" ht="15" thickBot="1" x14ac:dyDescent="0.4">
      <c r="A31" s="174" t="str">
        <f>SUMMARY!B34</f>
        <v>Threemile River</v>
      </c>
      <c r="B31" s="175">
        <f>SUMMARY!C34</f>
        <v>27</v>
      </c>
      <c r="C31" s="176">
        <f>SUMMARY!F34</f>
        <v>40406</v>
      </c>
      <c r="D31" s="176">
        <f>SUMMARY!AT34</f>
        <v>4364074</v>
      </c>
      <c r="E31" s="176">
        <f>SUMMARY!P34</f>
        <v>7728.0560368953802</v>
      </c>
      <c r="F31" s="176">
        <f>SUMMARY!Q34</f>
        <v>7728.0560368953802</v>
      </c>
      <c r="G31" s="176">
        <f>SUMMARY!T34</f>
        <v>40898.953115228214</v>
      </c>
      <c r="H31" s="176">
        <f>SUMMARY!X34</f>
        <v>81797.906230456429</v>
      </c>
      <c r="I31" s="177">
        <f>SUMMARY!Y34</f>
        <v>9.8794704808606304E-2</v>
      </c>
      <c r="J31" s="178">
        <f>SUMMARY!Z34</f>
        <v>0.52284817562260399</v>
      </c>
      <c r="L31" s="151"/>
    </row>
    <row r="32" spans="1:12" ht="15" thickBot="1" x14ac:dyDescent="0.4">
      <c r="A32" s="174" t="str">
        <f>SUMMARY!B35</f>
        <v>Black Hall River</v>
      </c>
      <c r="B32" s="175">
        <f>SUMMARY!C35</f>
        <v>28</v>
      </c>
      <c r="C32" s="176">
        <f>SUMMARY!F35</f>
        <v>394493</v>
      </c>
      <c r="D32" s="176">
        <f>SUMMARY!AT35</f>
        <v>14875260</v>
      </c>
      <c r="E32" s="176">
        <f>SUMMARY!P35</f>
        <v>26020.581460309106</v>
      </c>
      <c r="F32" s="176">
        <f>SUMMARY!Q35</f>
        <v>26020.581460309106</v>
      </c>
      <c r="G32" s="176">
        <f>SUMMARY!T35</f>
        <v>402067.25273321633</v>
      </c>
      <c r="H32" s="176">
        <f>SUMMARY!X35</f>
        <v>804134.50546643266</v>
      </c>
      <c r="I32" s="177">
        <f>SUMMARY!Y35</f>
        <v>0.18349800884931228</v>
      </c>
      <c r="J32" s="178">
        <f>SUMMARY!Z35</f>
        <v>2.8353916845631462</v>
      </c>
      <c r="L32" s="151"/>
    </row>
    <row r="33" spans="1:12" ht="15" thickBot="1" x14ac:dyDescent="0.4">
      <c r="A33" s="174" t="str">
        <f>SUMMARY!B37</f>
        <v>South Cove</v>
      </c>
      <c r="B33" s="175">
        <f>SUMMARY!C37</f>
        <v>30</v>
      </c>
      <c r="C33" s="176">
        <f>SUMMARY!F37</f>
        <v>1280842</v>
      </c>
      <c r="D33" s="176">
        <f>SUMMARY!AT37</f>
        <v>2720990</v>
      </c>
      <c r="E33" s="176">
        <f>SUMMARY!P37</f>
        <v>4841.2415690502776</v>
      </c>
      <c r="F33" s="176">
        <f>SUMMARY!Q37</f>
        <v>4841.2415690502776</v>
      </c>
      <c r="G33" s="176">
        <f>SUMMARY!T37</f>
        <v>1430188.2241069956</v>
      </c>
      <c r="H33" s="176">
        <f>SUMMARY!X37</f>
        <v>2860376.4482139912</v>
      </c>
      <c r="I33" s="177">
        <f>SUMMARY!Y37</f>
        <v>8.9557582590204396E-2</v>
      </c>
      <c r="J33" s="178">
        <f>SUMMARY!Z37</f>
        <v>26.456890897333743</v>
      </c>
      <c r="L33" s="151"/>
    </row>
    <row r="34" spans="1:12" ht="15" thickBot="1" x14ac:dyDescent="0.4">
      <c r="A34" s="174" t="str">
        <f>SUMMARY!B38</f>
        <v>Indiantown Harbor</v>
      </c>
      <c r="B34" s="175">
        <f>SUMMARY!C38</f>
        <v>31</v>
      </c>
      <c r="C34" s="176">
        <f>SUMMARY!F38</f>
        <v>143784</v>
      </c>
      <c r="D34" s="176">
        <f>SUMMARY!AT38</f>
        <v>3177480</v>
      </c>
      <c r="E34" s="176">
        <f>SUMMARY!P38</f>
        <v>5644.6767282391565</v>
      </c>
      <c r="F34" s="176">
        <f>SUMMARY!Q38</f>
        <v>5644.6767282391565</v>
      </c>
      <c r="G34" s="176">
        <f>SUMMARY!T38</f>
        <v>167508.35451521553</v>
      </c>
      <c r="H34" s="176">
        <f>SUMMARY!X38</f>
        <v>335016.70903043105</v>
      </c>
      <c r="I34" s="177">
        <f>SUMMARY!Y38</f>
        <v>8.5836912681832522E-2</v>
      </c>
      <c r="J34" s="178">
        <f>SUMMARY!Z38</f>
        <v>2.5472495046647796</v>
      </c>
      <c r="L34" s="151"/>
    </row>
    <row r="35" spans="1:12" ht="24.5" thickBot="1" x14ac:dyDescent="0.4">
      <c r="A35" s="174" t="str">
        <f>SUMMARY!B39</f>
        <v>Oyster River, Old Saybrook</v>
      </c>
      <c r="B35" s="175">
        <f>SUMMARY!C39</f>
        <v>32</v>
      </c>
      <c r="C35" s="176">
        <f>SUMMARY!F39</f>
        <v>106856</v>
      </c>
      <c r="D35" s="176">
        <f>SUMMARY!AT39</f>
        <v>16819320</v>
      </c>
      <c r="E35" s="176">
        <f>SUMMARY!P39</f>
        <v>29385.117154690837</v>
      </c>
      <c r="F35" s="176">
        <f>SUMMARY!Q39</f>
        <v>29385.117154690837</v>
      </c>
      <c r="G35" s="176">
        <f>SUMMARY!T39</f>
        <v>117263.76906019197</v>
      </c>
      <c r="H35" s="176">
        <f>SUMMARY!X39</f>
        <v>234527.53812038395</v>
      </c>
      <c r="I35" s="177">
        <f>SUMMARY!Y39</f>
        <v>9.1124480183773032E-2</v>
      </c>
      <c r="J35" s="178">
        <f>SUMMARY!Z39</f>
        <v>0.36363986380412389</v>
      </c>
      <c r="L35" s="151"/>
    </row>
    <row r="36" spans="1:12" ht="15" thickBot="1" x14ac:dyDescent="0.4">
      <c r="A36" s="174" t="str">
        <f>SUMMARY!B40</f>
        <v>Hagar Creek</v>
      </c>
      <c r="B36" s="175">
        <f>SUMMARY!C40</f>
        <v>33</v>
      </c>
      <c r="C36" s="176">
        <f>SUMMARY!F40</f>
        <v>18884</v>
      </c>
      <c r="D36" s="176">
        <f>SUMMARY!AT40</f>
        <v>1354378</v>
      </c>
      <c r="E36" s="176">
        <f>SUMMARY!P40</f>
        <v>2426.6076878835111</v>
      </c>
      <c r="F36" s="176">
        <f>SUMMARY!Q40</f>
        <v>2426.6076878835111</v>
      </c>
      <c r="G36" s="176">
        <f>SUMMARY!T40</f>
        <v>24496.324130071214</v>
      </c>
      <c r="H36" s="176">
        <f>SUMMARY!X40</f>
        <v>48992.648260142429</v>
      </c>
      <c r="I36" s="177">
        <f>SUMMARY!Y40</f>
        <v>7.7089117125203152E-2</v>
      </c>
      <c r="J36" s="178">
        <f>SUMMARY!Z40</f>
        <v>0.77820572704402169</v>
      </c>
      <c r="L36" s="151"/>
    </row>
    <row r="37" spans="1:12" ht="15" thickBot="1" x14ac:dyDescent="0.4">
      <c r="A37" s="174" t="str">
        <f>SUMMARY!B41</f>
        <v>Patchogue River</v>
      </c>
      <c r="B37" s="175">
        <f>SUMMARY!C41</f>
        <v>34</v>
      </c>
      <c r="C37" s="176">
        <f>SUMMARY!F41</f>
        <v>184613</v>
      </c>
      <c r="D37" s="176">
        <f>SUMMARY!AT41</f>
        <v>21376020</v>
      </c>
      <c r="E37" s="176">
        <f>SUMMARY!P41</f>
        <v>37256.723276666635</v>
      </c>
      <c r="F37" s="176">
        <f>SUMMARY!Q41</f>
        <v>37256.723276666635</v>
      </c>
      <c r="G37" s="176">
        <f>SUMMARY!T41</f>
        <v>240366.13445084466</v>
      </c>
      <c r="H37" s="176">
        <f>SUMMARY!X41</f>
        <v>480732.26890168933</v>
      </c>
      <c r="I37" s="177">
        <f>SUMMARY!Y41</f>
        <v>7.6804912814269058E-2</v>
      </c>
      <c r="J37" s="178">
        <f>SUMMARY!Z41</f>
        <v>0.49551593313526993</v>
      </c>
      <c r="L37" s="151"/>
    </row>
    <row r="38" spans="1:12" ht="15" thickBot="1" x14ac:dyDescent="0.4">
      <c r="A38" s="174" t="str">
        <f>SUMMARY!B42</f>
        <v>Menunkesucket River</v>
      </c>
      <c r="B38" s="175">
        <f>SUMMARY!C42</f>
        <v>35</v>
      </c>
      <c r="C38" s="176">
        <f>SUMMARY!F42</f>
        <v>254842</v>
      </c>
      <c r="D38" s="176">
        <f>SUMMARY!AT42</f>
        <v>45440500</v>
      </c>
      <c r="E38" s="176">
        <f>SUMMARY!P42</f>
        <v>78604.199253875966</v>
      </c>
      <c r="F38" s="176">
        <f>SUMMARY!Q42</f>
        <v>78604.199253875966</v>
      </c>
      <c r="G38" s="176">
        <f>SUMMARY!T42</f>
        <v>349999.99589785928</v>
      </c>
      <c r="H38" s="176">
        <f>SUMMARY!X42</f>
        <v>699999.99179571855</v>
      </c>
      <c r="I38" s="177">
        <f>SUMMARY!Y42</f>
        <v>0.19083672238259852</v>
      </c>
      <c r="J38" s="178">
        <f>SUMMARY!Z42</f>
        <v>0.84973643501338569</v>
      </c>
      <c r="L38" s="151"/>
    </row>
    <row r="39" spans="1:12" ht="15" thickBot="1" x14ac:dyDescent="0.4">
      <c r="A39" s="174" t="str">
        <f>SUMMARY!B43</f>
        <v>Clinton Harbor</v>
      </c>
      <c r="B39" s="175">
        <f>SUMMARY!C43</f>
        <v>36</v>
      </c>
      <c r="C39" s="176">
        <f>SUMMARY!F43</f>
        <v>3112477</v>
      </c>
      <c r="D39" s="176">
        <f>SUMMARY!AT43</f>
        <v>152711500</v>
      </c>
      <c r="E39" s="176">
        <f>SUMMARY!P43</f>
        <v>260981.72841174502</v>
      </c>
      <c r="F39" s="176">
        <f>SUMMARY!Q43</f>
        <v>260981.72841174502</v>
      </c>
      <c r="G39" s="176">
        <f>SUMMARY!T43</f>
        <v>4766447.1697534733</v>
      </c>
      <c r="H39" s="176">
        <f>SUMMARY!X43</f>
        <v>9532894.3395069465</v>
      </c>
      <c r="I39" s="177">
        <f>SUMMARY!Y43</f>
        <v>0.24906119229779963</v>
      </c>
      <c r="J39" s="178">
        <f>SUMMARY!Z43</f>
        <v>4.5487361216734419</v>
      </c>
      <c r="L39" s="151"/>
    </row>
    <row r="40" spans="1:12" ht="15" thickBot="1" x14ac:dyDescent="0.4">
      <c r="A40" s="174" t="str">
        <f>SUMMARY!B44</f>
        <v>Toms Creek</v>
      </c>
      <c r="B40" s="175">
        <f>SUMMARY!C44</f>
        <v>37</v>
      </c>
      <c r="C40" s="176">
        <f>SUMMARY!F44</f>
        <v>15715</v>
      </c>
      <c r="D40" s="176">
        <f>SUMMARY!AT44</f>
        <v>3085840</v>
      </c>
      <c r="E40" s="176">
        <f>SUMMARY!P44</f>
        <v>5483.4861092550263</v>
      </c>
      <c r="F40" s="176">
        <f>SUMMARY!Q44</f>
        <v>5483.4861092550263</v>
      </c>
      <c r="G40" s="176">
        <f>SUMMARY!T44</f>
        <v>22092.14676320638</v>
      </c>
      <c r="H40" s="176">
        <f>SUMMARY!X44</f>
        <v>44184.293526412759</v>
      </c>
      <c r="I40" s="177">
        <f>SUMMARY!Y44</f>
        <v>7.1133874713220385E-2</v>
      </c>
      <c r="J40" s="178">
        <f>SUMMARY!Z44</f>
        <v>0.28658775980988127</v>
      </c>
      <c r="L40" s="151"/>
    </row>
    <row r="41" spans="1:12" ht="15" thickBot="1" x14ac:dyDescent="0.4">
      <c r="A41" s="174" t="str">
        <f>SUMMARY!B45</f>
        <v>Fence Creek</v>
      </c>
      <c r="B41" s="175">
        <f>SUMMARY!C45</f>
        <v>38</v>
      </c>
      <c r="C41" s="176">
        <f>SUMMARY!F45</f>
        <v>18644</v>
      </c>
      <c r="D41" s="176">
        <f>SUMMARY!AT45</f>
        <v>3743594</v>
      </c>
      <c r="E41" s="176">
        <f>SUMMARY!P45</f>
        <v>6639.4626564072505</v>
      </c>
      <c r="F41" s="176">
        <f>SUMMARY!Q45</f>
        <v>6639.4626564072505</v>
      </c>
      <c r="G41" s="176">
        <f>SUMMARY!T45</f>
        <v>27973.456614962903</v>
      </c>
      <c r="H41" s="176">
        <f>SUMMARY!X45</f>
        <v>55946.913229925805</v>
      </c>
      <c r="I41" s="177">
        <f>SUMMARY!Y45</f>
        <v>6.6648895975291778E-2</v>
      </c>
      <c r="J41" s="178">
        <f>SUMMARY!Z45</f>
        <v>0.28080585681144038</v>
      </c>
      <c r="L41" s="151"/>
    </row>
    <row r="42" spans="1:12" ht="15" thickBot="1" x14ac:dyDescent="0.4">
      <c r="A42" s="174" t="str">
        <f>SUMMARY!B46</f>
        <v>Guilford Harbor</v>
      </c>
      <c r="B42" s="175">
        <f>SUMMARY!C46</f>
        <v>39</v>
      </c>
      <c r="C42" s="176">
        <f>SUMMARY!F46</f>
        <v>1822437</v>
      </c>
      <c r="D42" s="176">
        <f>SUMMARY!AT46</f>
        <v>130704000</v>
      </c>
      <c r="E42" s="176">
        <f>SUMMARY!P46</f>
        <v>223719.10197524237</v>
      </c>
      <c r="F42" s="176">
        <f>SUMMARY!Q46</f>
        <v>223719.10197524237</v>
      </c>
      <c r="G42" s="176">
        <f>SUMMARY!T46</f>
        <v>2919544.0705227903</v>
      </c>
      <c r="H42" s="176">
        <f>SUMMARY!X46</f>
        <v>5839088.1410455806</v>
      </c>
      <c r="I42" s="177">
        <f>SUMMARY!Y46</f>
        <v>0.1349669917101291</v>
      </c>
      <c r="J42" s="178">
        <f>SUMMARY!Z46</f>
        <v>1.7613251478508629</v>
      </c>
      <c r="L42" s="151"/>
    </row>
    <row r="43" spans="1:12" ht="15" thickBot="1" x14ac:dyDescent="0.4">
      <c r="A43" s="174" t="str">
        <f>SUMMARY!B47</f>
        <v>Indian Cove</v>
      </c>
      <c r="B43" s="175">
        <f>SUMMARY!C47</f>
        <v>40</v>
      </c>
      <c r="C43" s="176">
        <f>SUMMARY!F47</f>
        <v>242575</v>
      </c>
      <c r="D43" s="176">
        <f>SUMMARY!AT47</f>
        <v>1615893</v>
      </c>
      <c r="E43" s="176">
        <f>SUMMARY!P47</f>
        <v>2890.0512950533603</v>
      </c>
      <c r="F43" s="176">
        <f>SUMMARY!Q47</f>
        <v>2890.0512950533603</v>
      </c>
      <c r="G43" s="176">
        <f>SUMMARY!T47</f>
        <v>390254.67300104973</v>
      </c>
      <c r="H43" s="176">
        <f>SUMMARY!X47</f>
        <v>780509.34600209945</v>
      </c>
      <c r="I43" s="177">
        <f>SUMMARY!Y47</f>
        <v>0.25290552638484287</v>
      </c>
      <c r="J43" s="178">
        <f>SUMMARY!Z47</f>
        <v>34.15079990739504</v>
      </c>
      <c r="L43" s="151"/>
    </row>
    <row r="44" spans="1:12" ht="15" thickBot="1" x14ac:dyDescent="0.4">
      <c r="A44" s="174" t="str">
        <f>SUMMARY!B48</f>
        <v>Sachem Head Harbor</v>
      </c>
      <c r="B44" s="175">
        <f>SUMMARY!C48</f>
        <v>41</v>
      </c>
      <c r="C44" s="176">
        <f>SUMMARY!F48</f>
        <v>131008</v>
      </c>
      <c r="D44" s="176">
        <f>SUMMARY!AT48</f>
        <v>508748.1</v>
      </c>
      <c r="E44" s="176">
        <f>SUMMARY!P48</f>
        <v>920.48104501695173</v>
      </c>
      <c r="F44" s="176">
        <f>SUMMARY!Q48</f>
        <v>920.48104501695173</v>
      </c>
      <c r="G44" s="176">
        <f>SUMMARY!T48</f>
        <v>223001.82482142298</v>
      </c>
      <c r="H44" s="176">
        <f>SUMMARY!X48</f>
        <v>446003.64964284596</v>
      </c>
      <c r="I44" s="177">
        <f>SUMMARY!Y48</f>
        <v>0.33013993337607594</v>
      </c>
      <c r="J44" s="178">
        <f>SUMMARY!Z48</f>
        <v>79.981883372657734</v>
      </c>
      <c r="L44" s="151"/>
    </row>
    <row r="45" spans="1:12" ht="15" thickBot="1" x14ac:dyDescent="0.4">
      <c r="A45" s="174" t="str">
        <f>SUMMARY!B49</f>
        <v>Joshua Cove</v>
      </c>
      <c r="B45" s="175">
        <f>SUMMARY!C49</f>
        <v>42</v>
      </c>
      <c r="C45" s="176">
        <f>SUMMARY!F49</f>
        <v>902899</v>
      </c>
      <c r="D45" s="176">
        <f>SUMMARY!AT49</f>
        <v>4756424</v>
      </c>
      <c r="E45" s="176">
        <f>SUMMARY!P49</f>
        <v>8415.595130179323</v>
      </c>
      <c r="F45" s="176">
        <f>SUMMARY!Q49</f>
        <v>8415.595130179323</v>
      </c>
      <c r="G45" s="176">
        <f>SUMMARY!T49</f>
        <v>1548832.927035003</v>
      </c>
      <c r="H45" s="176">
        <f>SUMMARY!X49</f>
        <v>3097665.8540700059</v>
      </c>
      <c r="I45" s="177">
        <f>SUMMARY!Y49</f>
        <v>0.37457637855156162</v>
      </c>
      <c r="J45" s="178">
        <f>SUMMARY!Z49</f>
        <v>68.9382295388329</v>
      </c>
      <c r="L45" s="151"/>
    </row>
    <row r="46" spans="1:12" ht="15" thickBot="1" x14ac:dyDescent="0.4">
      <c r="A46" s="174" t="str">
        <f>SUMMARY!B50</f>
        <v>Island Bay</v>
      </c>
      <c r="B46" s="175">
        <f>SUMMARY!C50</f>
        <v>43</v>
      </c>
      <c r="C46" s="176">
        <f>SUMMARY!F50</f>
        <v>316087</v>
      </c>
      <c r="D46" s="176">
        <f>SUMMARY!AT50</f>
        <v>1327224</v>
      </c>
      <c r="E46" s="176">
        <f>SUMMARY!P50</f>
        <v>2378.4381458402408</v>
      </c>
      <c r="F46" s="176">
        <f>SUMMARY!Q50</f>
        <v>2378.4381458402408</v>
      </c>
      <c r="G46" s="176">
        <f>SUMMARY!T50</f>
        <v>563772.76457841101</v>
      </c>
      <c r="H46" s="176">
        <f>SUMMARY!X50</f>
        <v>1127545.529156822</v>
      </c>
      <c r="I46" s="177">
        <f>SUMMARY!Y50</f>
        <v>0.25512693543887771</v>
      </c>
      <c r="J46" s="178">
        <f>SUMMARY!Z50</f>
        <v>60.473978674766485</v>
      </c>
      <c r="L46" s="151"/>
    </row>
    <row r="47" spans="1:12" ht="15" thickBot="1" x14ac:dyDescent="0.4">
      <c r="A47" s="174" t="str">
        <f>SUMMARY!B51</f>
        <v>Little Harbor</v>
      </c>
      <c r="B47" s="175">
        <f>SUMMARY!C51</f>
        <v>44</v>
      </c>
      <c r="C47" s="176">
        <f>SUMMARY!F51</f>
        <v>58292</v>
      </c>
      <c r="D47" s="176">
        <f>SUMMARY!AT51</f>
        <v>313040.2</v>
      </c>
      <c r="E47" s="176">
        <f>SUMMARY!P51</f>
        <v>569.14272470660353</v>
      </c>
      <c r="F47" s="176">
        <f>SUMMARY!Q51</f>
        <v>569.14272470660353</v>
      </c>
      <c r="G47" s="176">
        <f>SUMMARY!T51</f>
        <v>105030.52633377969</v>
      </c>
      <c r="H47" s="176">
        <f>SUMMARY!X51</f>
        <v>210061.05266755939</v>
      </c>
      <c r="I47" s="177">
        <f>SUMMARY!Y51</f>
        <v>5.5500055112312867E-2</v>
      </c>
      <c r="J47" s="178">
        <f>SUMMARY!Z51</f>
        <v>10.242070656363021</v>
      </c>
      <c r="L47" s="151"/>
    </row>
    <row r="48" spans="1:12" ht="15" thickBot="1" x14ac:dyDescent="0.4">
      <c r="A48" s="174" t="str">
        <f>SUMMARY!B52</f>
        <v>Branford Harbor</v>
      </c>
      <c r="B48" s="175">
        <f>SUMMARY!C52</f>
        <v>45</v>
      </c>
      <c r="C48" s="176">
        <f>SUMMARY!F52</f>
        <v>2702490</v>
      </c>
      <c r="D48" s="176">
        <f>SUMMARY!AT52</f>
        <v>67113580</v>
      </c>
      <c r="E48" s="176">
        <f>SUMMARY!P52</f>
        <v>115643.00787117945</v>
      </c>
      <c r="F48" s="176">
        <f>SUMMARY!Q52</f>
        <v>115643.00787117945</v>
      </c>
      <c r="G48" s="176">
        <f>SUMMARY!T52</f>
        <v>4881777.7777529955</v>
      </c>
      <c r="H48" s="176">
        <f>SUMMARY!X52</f>
        <v>9763555.555505991</v>
      </c>
      <c r="I48" s="177">
        <f>SUMMARY!Y52</f>
        <v>0.75046465110953164</v>
      </c>
      <c r="J48" s="178">
        <f>SUMMARY!Z52</f>
        <v>31.680269514061205</v>
      </c>
      <c r="L48" s="151"/>
    </row>
    <row r="49" spans="1:12" ht="15" thickBot="1" x14ac:dyDescent="0.4">
      <c r="A49" s="174" t="str">
        <f>SUMMARY!B53</f>
        <v>Pages Cove</v>
      </c>
      <c r="B49" s="175">
        <f>SUMMARY!C53</f>
        <v>46</v>
      </c>
      <c r="C49" s="176">
        <f>SUMMARY!F53</f>
        <v>74175</v>
      </c>
      <c r="D49" s="176">
        <f>SUMMARY!AT53</f>
        <v>723534.5</v>
      </c>
      <c r="E49" s="176">
        <f>SUMMARY!P53</f>
        <v>1304.492928650888</v>
      </c>
      <c r="F49" s="176">
        <f>SUMMARY!Q53</f>
        <v>1304.492928650888</v>
      </c>
      <c r="G49" s="176">
        <f>SUMMARY!T53</f>
        <v>134078.73158452637</v>
      </c>
      <c r="H49" s="176">
        <f>SUMMARY!X53</f>
        <v>268157.46316905273</v>
      </c>
      <c r="I49" s="177">
        <f>SUMMARY!Y53</f>
        <v>5.5321973234239874E-2</v>
      </c>
      <c r="J49" s="178">
        <f>SUMMARY!Z53</f>
        <v>5.6861174461644719</v>
      </c>
      <c r="L49" s="151"/>
    </row>
    <row r="50" spans="1:12" ht="15" thickBot="1" x14ac:dyDescent="0.4">
      <c r="A50" s="174" t="str">
        <f>SUMMARY!B54</f>
        <v>Farm River</v>
      </c>
      <c r="B50" s="175">
        <f>SUMMARY!C54</f>
        <v>47</v>
      </c>
      <c r="C50" s="176">
        <f>SUMMARY!F54</f>
        <v>421418</v>
      </c>
      <c r="D50" s="176">
        <f>SUMMARY!AT54</f>
        <v>67392290</v>
      </c>
      <c r="E50" s="176">
        <f>SUMMARY!P54</f>
        <v>116118.43910983481</v>
      </c>
      <c r="F50" s="176">
        <f>SUMMARY!Q54</f>
        <v>116118.43910983481</v>
      </c>
      <c r="G50" s="176">
        <f>SUMMARY!T54</f>
        <v>807436.89161745214</v>
      </c>
      <c r="H50" s="176">
        <f>SUMMARY!X54</f>
        <v>1614873.7832349043</v>
      </c>
      <c r="I50" s="177">
        <f>SUMMARY!Y54</f>
        <v>0.13093426283693121</v>
      </c>
      <c r="J50" s="178">
        <f>SUMMARY!Z54</f>
        <v>0.91045965655182504</v>
      </c>
      <c r="L50" s="151"/>
    </row>
    <row r="51" spans="1:12" ht="15" thickBot="1" x14ac:dyDescent="0.4">
      <c r="A51" s="174" t="str">
        <f>SUMMARY!B55</f>
        <v>New Haven Harbor</v>
      </c>
      <c r="B51" s="175">
        <f>SUMMARY!C55</f>
        <v>48</v>
      </c>
      <c r="C51" s="176">
        <f>SUMMARY!F55</f>
        <v>30289810</v>
      </c>
      <c r="D51" s="176">
        <f>SUMMARY!AT55</f>
        <v>587906300</v>
      </c>
      <c r="E51" s="176">
        <f>SUMMARY!P55</f>
        <v>991270.33692207222</v>
      </c>
      <c r="F51" s="176">
        <f>SUMMARY!Q55</f>
        <v>991270.33692207222</v>
      </c>
      <c r="G51" s="176">
        <f>SUMMARY!T55</f>
        <v>58422985.129386105</v>
      </c>
      <c r="H51" s="176">
        <f>SUMMARY!X55</f>
        <v>116845970.25877221</v>
      </c>
      <c r="I51" s="177">
        <f>SUMMARY!Y55</f>
        <v>1.5367243448804138</v>
      </c>
      <c r="J51" s="178">
        <f>SUMMARY!Z55</f>
        <v>90.570675026637048</v>
      </c>
      <c r="L51" s="151"/>
    </row>
    <row r="52" spans="1:12" ht="15" thickBot="1" x14ac:dyDescent="0.4">
      <c r="A52" s="174" t="str">
        <f>SUMMARY!B56</f>
        <v>Oyster River, Milford</v>
      </c>
      <c r="B52" s="175">
        <f>SUMMARY!C56</f>
        <v>49</v>
      </c>
      <c r="C52" s="176">
        <f>SUMMARY!F56</f>
        <v>32102</v>
      </c>
      <c r="D52" s="176">
        <f>SUMMARY!AT56</f>
        <v>9817899</v>
      </c>
      <c r="E52" s="176">
        <f>SUMMARY!P56</f>
        <v>17245.486557607568</v>
      </c>
      <c r="F52" s="176">
        <f>SUMMARY!Q56</f>
        <v>17245.486557607568</v>
      </c>
      <c r="G52" s="176">
        <f>SUMMARY!T56</f>
        <v>62053.164989685851</v>
      </c>
      <c r="H52" s="176">
        <f>SUMMARY!X56</f>
        <v>124106.3299793717</v>
      </c>
      <c r="I52" s="177">
        <f>SUMMARY!Y56</f>
        <v>5.1733058265981804E-2</v>
      </c>
      <c r="J52" s="178">
        <f>SUMMARY!Z56</f>
        <v>0.18614725593716996</v>
      </c>
      <c r="L52" s="151"/>
    </row>
    <row r="53" spans="1:12" ht="15" thickBot="1" x14ac:dyDescent="0.4">
      <c r="A53" s="174" t="str">
        <f>SUMMARY!B57</f>
        <v>Calf Pen Meadow Creek</v>
      </c>
      <c r="B53" s="175">
        <f>SUMMARY!C57</f>
        <v>50</v>
      </c>
      <c r="C53" s="176">
        <f>SUMMARY!F57</f>
        <v>11241</v>
      </c>
      <c r="D53" s="176">
        <f>SUMMARY!AT57</f>
        <v>2684724</v>
      </c>
      <c r="E53" s="176">
        <f>SUMMARY!P57</f>
        <v>4777.357329212211</v>
      </c>
      <c r="F53" s="176">
        <f>SUMMARY!Q57</f>
        <v>4777.357329212211</v>
      </c>
      <c r="G53" s="176">
        <f>SUMMARY!T57</f>
        <v>22632.630274774619</v>
      </c>
      <c r="H53" s="176">
        <f>SUMMARY!X57</f>
        <v>45265.260549549239</v>
      </c>
      <c r="I53" s="177">
        <f>SUMMARY!Y57</f>
        <v>4.966722764224514E-2</v>
      </c>
      <c r="J53" s="178">
        <f>SUMMARY!Z57</f>
        <v>0.23529745056465451</v>
      </c>
      <c r="L53" s="151"/>
    </row>
    <row r="54" spans="1:12" ht="15" thickBot="1" x14ac:dyDescent="0.4">
      <c r="A54" s="174" t="str">
        <f>SUMMARY!B58</f>
        <v>Milford Harbor</v>
      </c>
      <c r="B54" s="175">
        <f>SUMMARY!C58</f>
        <v>51</v>
      </c>
      <c r="C54" s="176">
        <f>SUMMARY!F58</f>
        <v>3725718</v>
      </c>
      <c r="D54" s="176">
        <f>SUMMARY!AT58</f>
        <v>86206060</v>
      </c>
      <c r="E54" s="176">
        <f>SUMMARY!P58</f>
        <v>148169.73216355807</v>
      </c>
      <c r="F54" s="176">
        <f>SUMMARY!Q58</f>
        <v>148169.73216355807</v>
      </c>
      <c r="G54" s="176">
        <f>SUMMARY!T58</f>
        <v>7550539.6667657401</v>
      </c>
      <c r="H54" s="176">
        <f>SUMMARY!X58</f>
        <v>15101079.33353148</v>
      </c>
      <c r="I54" s="177">
        <f>SUMMARY!Y58</f>
        <v>0.74307664488700187</v>
      </c>
      <c r="J54" s="178">
        <f>SUMMARY!Z58</f>
        <v>37.866233546762302</v>
      </c>
      <c r="L54" s="151"/>
    </row>
    <row r="55" spans="1:12" x14ac:dyDescent="0.35">
      <c r="A55" s="160" t="str">
        <f>SUMMARY!B60</f>
        <v>Lewis Gut</v>
      </c>
      <c r="B55" s="161">
        <f>SUMMARY!C60</f>
        <v>53</v>
      </c>
      <c r="C55" s="162">
        <f>SUMMARY!F60</f>
        <v>1035037</v>
      </c>
      <c r="D55" s="162">
        <f>SUMMARY!AT60</f>
        <v>8594224</v>
      </c>
      <c r="E55" s="162">
        <f>SUMMARY!P60</f>
        <v>15116.166945959583</v>
      </c>
      <c r="F55" s="162">
        <f>SUMMARY!Q60</f>
        <v>15116.166945959583</v>
      </c>
      <c r="G55" s="162">
        <f>SUMMARY!T60</f>
        <v>2167574.3776112469</v>
      </c>
      <c r="H55" s="162">
        <f>SUMMARY!X60</f>
        <v>4335148.7552224938</v>
      </c>
      <c r="I55" s="163">
        <f>SUMMARY!Y60</f>
        <v>4.7750933517707109E-2</v>
      </c>
      <c r="J55" s="164">
        <f>SUMMARY!Z60</f>
        <v>6.8472186348580673</v>
      </c>
      <c r="L55" s="151"/>
    </row>
    <row r="56" spans="1:12" x14ac:dyDescent="0.35">
      <c r="A56" s="165" t="str">
        <f>SUMMARY!B61</f>
        <v>Bridgeport Harbor</v>
      </c>
      <c r="B56" s="156">
        <f>SUMMARY!C61</f>
        <v>54</v>
      </c>
      <c r="C56" s="157">
        <f>SUMMARY!F61</f>
        <v>2477592</v>
      </c>
      <c r="D56" s="157">
        <f>SUMMARY!AT61</f>
        <v>111553400</v>
      </c>
      <c r="E56" s="157">
        <f>SUMMARY!P61</f>
        <v>191242.78558323882</v>
      </c>
      <c r="F56" s="159">
        <f>SUMMARY!Q61</f>
        <v>355573.19036569283</v>
      </c>
      <c r="G56" s="157">
        <f>SUMMARY!T61</f>
        <v>5135552.5019693356</v>
      </c>
      <c r="H56" s="157">
        <f>SUMMARY!X61</f>
        <v>10271105.003938671</v>
      </c>
      <c r="I56" s="158">
        <f>SUMMARY!Y61</f>
        <v>1.5956104046049149</v>
      </c>
      <c r="J56" s="166">
        <f>SUMMARY!Z61</f>
        <v>23.045441072510336</v>
      </c>
      <c r="L56" s="151"/>
    </row>
    <row r="57" spans="1:12" x14ac:dyDescent="0.35">
      <c r="A57" s="165" t="str">
        <f>SUMMARY!B62</f>
        <v>Pequonnock River</v>
      </c>
      <c r="B57" s="156">
        <f>SUMMARY!C62</f>
        <v>55</v>
      </c>
      <c r="C57" s="157">
        <f>SUMMARY!F62</f>
        <v>201832</v>
      </c>
      <c r="D57" s="157">
        <f>SUMMARY!AT62</f>
        <v>86819920</v>
      </c>
      <c r="E57" s="157">
        <f>SUMMARY!P62</f>
        <v>149214.23783649443</v>
      </c>
      <c r="F57" s="157">
        <f>SUMMARY!Q62</f>
        <v>149214.23783649443</v>
      </c>
      <c r="G57" s="157">
        <f>SUMMARY!T62</f>
        <v>432001.19924899947</v>
      </c>
      <c r="H57" s="157">
        <f>SUMMARY!X62</f>
        <v>864002.39849799895</v>
      </c>
      <c r="I57" s="158">
        <f>SUMMARY!Y62</f>
        <v>4.6720240673143794E-2</v>
      </c>
      <c r="J57" s="166">
        <f>SUMMARY!Z62</f>
        <v>0.13526323152966335</v>
      </c>
      <c r="L57" s="151"/>
    </row>
    <row r="58" spans="1:12" ht="36.5" thickBot="1" x14ac:dyDescent="0.4">
      <c r="A58" s="167" t="str">
        <f>SUMMARY!B63</f>
        <v>Lewis Gut + Bridgeport H. + Pequonnock R.</v>
      </c>
      <c r="B58" s="168" t="str">
        <f>SUMMARY!C63</f>
        <v>53-54-55</v>
      </c>
      <c r="C58" s="169">
        <f>SUMMARY!F63</f>
        <v>3714461</v>
      </c>
      <c r="D58" s="169">
        <f>SUMMARY!AT63</f>
        <v>206967544</v>
      </c>
      <c r="E58" s="172"/>
      <c r="F58" s="173">
        <f>SUMMARY!Q63</f>
        <v>355573.19036569283</v>
      </c>
      <c r="G58" s="169">
        <f>SUMMARY!T63</f>
        <v>7950432.0750110876</v>
      </c>
      <c r="H58" s="169">
        <f>SUMMARY!X63</f>
        <v>15900864.150022175</v>
      </c>
      <c r="I58" s="170">
        <f>SUMMARY!Y63</f>
        <v>1.0462359563678776</v>
      </c>
      <c r="J58" s="171">
        <f>SUMMARY!Z63</f>
        <v>23.393293226022791</v>
      </c>
      <c r="L58" s="151"/>
    </row>
    <row r="59" spans="1:12" ht="15" thickBot="1" x14ac:dyDescent="0.4">
      <c r="A59" s="174" t="str">
        <f>SUMMARY!B64</f>
        <v>Black Rock Harbor</v>
      </c>
      <c r="B59" s="175">
        <f>SUMMARY!C64</f>
        <v>56</v>
      </c>
      <c r="C59" s="176">
        <f>SUMMARY!F64</f>
        <v>1110912</v>
      </c>
      <c r="D59" s="176">
        <f>SUMMARY!AT64</f>
        <v>5122333</v>
      </c>
      <c r="E59" s="176">
        <f>SUMMARY!P64</f>
        <v>9056.2876359111542</v>
      </c>
      <c r="F59" s="176">
        <f>SUMMARY!Q64</f>
        <v>9056.2876359111542</v>
      </c>
      <c r="G59" s="176">
        <f>SUMMARY!T64</f>
        <v>2352467.2113626958</v>
      </c>
      <c r="H59" s="176">
        <f>SUMMARY!X64</f>
        <v>4704934.4227253916</v>
      </c>
      <c r="I59" s="177">
        <f>SUMMARY!Y64</f>
        <v>0.38899843590896954</v>
      </c>
      <c r="J59" s="178">
        <f>SUMMARY!Z64</f>
        <v>101.04648864271138</v>
      </c>
      <c r="L59" s="151"/>
    </row>
    <row r="60" spans="1:12" ht="15" thickBot="1" x14ac:dyDescent="0.4">
      <c r="A60" s="174" t="str">
        <f>SUMMARY!B65</f>
        <v>Ash Creek</v>
      </c>
      <c r="B60" s="175">
        <f>SUMMARY!C65</f>
        <v>57</v>
      </c>
      <c r="C60" s="176">
        <f>SUMMARY!F65</f>
        <v>394301</v>
      </c>
      <c r="D60" s="176">
        <f>SUMMARY!AT65</f>
        <v>29200070</v>
      </c>
      <c r="E60" s="176">
        <f>SUMMARY!P65</f>
        <v>50734.937660443</v>
      </c>
      <c r="F60" s="176">
        <f>SUMMARY!Q65</f>
        <v>50734.937660443</v>
      </c>
      <c r="G60" s="176">
        <f>SUMMARY!T65</f>
        <v>848535.73244267039</v>
      </c>
      <c r="H60" s="176">
        <f>SUMMARY!X65</f>
        <v>1697071.4648853408</v>
      </c>
      <c r="I60" s="177">
        <f>SUMMARY!Y65</f>
        <v>4.6468402558007799E-2</v>
      </c>
      <c r="J60" s="178">
        <f>SUMMARY!Z65</f>
        <v>0.77717844582556472</v>
      </c>
      <c r="L60" s="151"/>
    </row>
    <row r="61" spans="1:12" ht="15" thickBot="1" x14ac:dyDescent="0.4">
      <c r="A61" s="174" t="str">
        <f>SUMMARY!B66</f>
        <v>Pine Creek</v>
      </c>
      <c r="B61" s="175">
        <f>SUMMARY!C66</f>
        <v>58</v>
      </c>
      <c r="C61" s="176">
        <f>SUMMARY!F66</f>
        <v>108165</v>
      </c>
      <c r="D61" s="176">
        <f>SUMMARY!AT66</f>
        <v>5806078</v>
      </c>
      <c r="E61" s="176">
        <f>SUMMARY!P66</f>
        <v>10252.29548663172</v>
      </c>
      <c r="F61" s="176">
        <f>SUMMARY!Q66</f>
        <v>10252.29548663172</v>
      </c>
      <c r="G61" s="176">
        <f>SUMMARY!T66</f>
        <v>235475.20995179369</v>
      </c>
      <c r="H61" s="176">
        <f>SUMMARY!X66</f>
        <v>470950.41990358738</v>
      </c>
      <c r="I61" s="177">
        <f>SUMMARY!Y66</f>
        <v>4.5934771656916014E-2</v>
      </c>
      <c r="J61" s="178">
        <f>SUMMARY!Z66</f>
        <v>1.0550320183517889</v>
      </c>
      <c r="L61" s="151"/>
    </row>
    <row r="62" spans="1:12" ht="15" thickBot="1" x14ac:dyDescent="0.4">
      <c r="A62" s="174" t="str">
        <f>SUMMARY!B67</f>
        <v>Mill River</v>
      </c>
      <c r="B62" s="175">
        <f>SUMMARY!C67</f>
        <v>59</v>
      </c>
      <c r="C62" s="176">
        <f>SUMMARY!F67</f>
        <v>263852</v>
      </c>
      <c r="D62" s="176">
        <f>SUMMARY!AT67</f>
        <v>87074320</v>
      </c>
      <c r="E62" s="176">
        <f>SUMMARY!P67</f>
        <v>149647.08724518307</v>
      </c>
      <c r="F62" s="176">
        <f>SUMMARY!Q67</f>
        <v>149647.08724518307</v>
      </c>
      <c r="G62" s="176">
        <f>SUMMARY!T67</f>
        <v>581951.97733719752</v>
      </c>
      <c r="H62" s="176">
        <f>SUMMARY!X67</f>
        <v>1163903.954674395</v>
      </c>
      <c r="I62" s="177">
        <f>SUMMARY!Y67</f>
        <v>4.5339136264695185E-2</v>
      </c>
      <c r="J62" s="178">
        <f>SUMMARY!Z67</f>
        <v>0.17631616148178189</v>
      </c>
      <c r="L62" s="151"/>
    </row>
    <row r="63" spans="1:12" ht="15" thickBot="1" x14ac:dyDescent="0.4">
      <c r="A63" s="174" t="str">
        <f>SUMMARY!B68</f>
        <v>Sasco Brook</v>
      </c>
      <c r="B63" s="175">
        <f>SUMMARY!C68</f>
        <v>60</v>
      </c>
      <c r="C63" s="176">
        <f>SUMMARY!F68</f>
        <v>54497</v>
      </c>
      <c r="D63" s="176">
        <f>SUMMARY!AT68</f>
        <v>24519570</v>
      </c>
      <c r="E63" s="176">
        <f>SUMMARY!P68</f>
        <v>42677.089987695137</v>
      </c>
      <c r="F63" s="176">
        <f>SUMMARY!Q68</f>
        <v>42677.089987695137</v>
      </c>
      <c r="G63" s="176">
        <f>SUMMARY!T68</f>
        <v>120405.66845279426</v>
      </c>
      <c r="H63" s="176">
        <f>SUMMARY!X68</f>
        <v>240811.33690558851</v>
      </c>
      <c r="I63" s="177">
        <f>SUMMARY!Y68</f>
        <v>4.5261158133402889E-2</v>
      </c>
      <c r="J63" s="178">
        <f>SUMMARY!Z68</f>
        <v>0.12769614801691689</v>
      </c>
      <c r="L63" s="151"/>
    </row>
    <row r="64" spans="1:12" x14ac:dyDescent="0.35">
      <c r="A64" s="160" t="str">
        <f>SUMMARY!B69</f>
        <v>Sherwood Millpond</v>
      </c>
      <c r="B64" s="161">
        <f>SUMMARY!C69</f>
        <v>61</v>
      </c>
      <c r="C64" s="162">
        <f>SUMMARY!F69</f>
        <v>431093</v>
      </c>
      <c r="D64" s="162">
        <f>SUMMARY!AT69</f>
        <v>14722700</v>
      </c>
      <c r="E64" s="162">
        <f>SUMMARY!P69</f>
        <v>25756.370607010733</v>
      </c>
      <c r="F64" s="162">
        <f>SUMMARY!Q69</f>
        <v>25756.370607010733</v>
      </c>
      <c r="G64" s="162">
        <f>SUMMARY!T69</f>
        <v>952456.84772226785</v>
      </c>
      <c r="H64" s="162">
        <f>SUMMARY!X69</f>
        <v>1904913.6954445357</v>
      </c>
      <c r="I64" s="163">
        <f>SUMMARY!Y69</f>
        <v>4.5261158133402889E-2</v>
      </c>
      <c r="J64" s="164">
        <f>SUMMARY!Z69</f>
        <v>1.6737334874450791</v>
      </c>
      <c r="L64" s="151"/>
    </row>
    <row r="65" spans="1:12" x14ac:dyDescent="0.35">
      <c r="A65" s="165" t="str">
        <f>SUMMARY!B70</f>
        <v>Compo Cove</v>
      </c>
      <c r="B65" s="156">
        <f>SUMMARY!C70</f>
        <v>62</v>
      </c>
      <c r="C65" s="157">
        <f>SUMMARY!F70</f>
        <v>191668</v>
      </c>
      <c r="D65" s="157">
        <f>SUMMARY!AT70</f>
        <v>182400.6</v>
      </c>
      <c r="E65" s="157">
        <f>SUMMARY!P70</f>
        <v>333.42109803472289</v>
      </c>
      <c r="F65" s="159">
        <f>SUMMARY!Q70</f>
        <v>26089.791705045456</v>
      </c>
      <c r="G65" s="157">
        <f>SUMMARY!T70</f>
        <v>422819.62518111948</v>
      </c>
      <c r="H65" s="157">
        <f>SUMMARY!X70</f>
        <v>845639.25036223896</v>
      </c>
      <c r="I65" s="158">
        <f>SUMMARY!Y70</f>
        <v>4.5330913842491792E-2</v>
      </c>
      <c r="J65" s="166">
        <f>SUMMARY!Z70</f>
        <v>0.73464749035514021</v>
      </c>
      <c r="L65" s="151"/>
    </row>
    <row r="66" spans="1:12" ht="24.5" thickBot="1" x14ac:dyDescent="0.4">
      <c r="A66" s="167" t="str">
        <f>SUMMARY!B71</f>
        <v>Sherwood Millpond + Compo Cove</v>
      </c>
      <c r="B66" s="168" t="str">
        <f>SUMMARY!C71</f>
        <v>61-62</v>
      </c>
      <c r="C66" s="169">
        <f>SUMMARY!F71</f>
        <v>622761</v>
      </c>
      <c r="D66" s="169">
        <f>SUMMARY!AT71</f>
        <v>14905100.6</v>
      </c>
      <c r="E66" s="172"/>
      <c r="F66" s="173">
        <f>SUMMARY!Q71</f>
        <v>26089.791705045456</v>
      </c>
      <c r="G66" s="169">
        <f>SUMMARY!T71</f>
        <v>1373810.8218242959</v>
      </c>
      <c r="H66" s="169">
        <f>SUMMARY!X71</f>
        <v>2747621.6436485918</v>
      </c>
      <c r="I66" s="170">
        <f>SUMMARY!Y71</f>
        <v>4.5330913842491799E-2</v>
      </c>
      <c r="J66" s="171">
        <f>SUMMARY!Z71</f>
        <v>2.3869910769719387</v>
      </c>
      <c r="L66" s="151"/>
    </row>
    <row r="67" spans="1:12" ht="15" thickBot="1" x14ac:dyDescent="0.4">
      <c r="A67" s="174" t="str">
        <f>SUMMARY!B73</f>
        <v>Saugatuck River</v>
      </c>
      <c r="B67" s="175">
        <f>SUMMARY!C73</f>
        <v>64</v>
      </c>
      <c r="C67" s="176">
        <f>SUMMARY!F73</f>
        <v>2497672</v>
      </c>
      <c r="D67" s="176">
        <f>SUMMARY!AT73</f>
        <v>225591220</v>
      </c>
      <c r="E67" s="176">
        <f>SUMMARY!P73</f>
        <v>384030.79241661233</v>
      </c>
      <c r="F67" s="176">
        <f>SUMMARY!Q73</f>
        <v>384030.79241661233</v>
      </c>
      <c r="G67" s="176">
        <f>SUMMARY!T73</f>
        <v>5605275.4804704394</v>
      </c>
      <c r="H67" s="176">
        <f>SUMMARY!X73</f>
        <v>11210550.960940879</v>
      </c>
      <c r="I67" s="177">
        <f>SUMMARY!Y73</f>
        <v>0.62277193677040266</v>
      </c>
      <c r="J67" s="178">
        <f>SUMMARY!Z73</f>
        <v>9.089917621286089</v>
      </c>
      <c r="L67" s="151"/>
    </row>
    <row r="68" spans="1:12" ht="15" thickBot="1" x14ac:dyDescent="0.4">
      <c r="A68" s="174" t="str">
        <f>SUMMARY!B74</f>
        <v>Cockenoe Harbor</v>
      </c>
      <c r="B68" s="175">
        <f>SUMMARY!C74</f>
        <v>65</v>
      </c>
      <c r="C68" s="176">
        <f>SUMMARY!F74</f>
        <v>409453</v>
      </c>
      <c r="D68" s="176">
        <f>SUMMARY!AT74</f>
        <v>1371853</v>
      </c>
      <c r="E68" s="176">
        <f>SUMMARY!P74</f>
        <v>2457.6021539969297</v>
      </c>
      <c r="F68" s="176">
        <f>SUMMARY!Q74</f>
        <v>2457.6021539969297</v>
      </c>
      <c r="G68" s="176">
        <f>SUMMARY!T74</f>
        <v>918894.41900500259</v>
      </c>
      <c r="H68" s="176">
        <f>SUMMARY!X74</f>
        <v>1837788.8380100052</v>
      </c>
      <c r="I68" s="177">
        <f>SUMMARY!Y74</f>
        <v>0.15261817636171363</v>
      </c>
      <c r="J68" s="178">
        <f>SUMMARY!Z74</f>
        <v>57.063748202458264</v>
      </c>
      <c r="L68" s="151"/>
    </row>
    <row r="69" spans="1:12" ht="15" thickBot="1" x14ac:dyDescent="0.4">
      <c r="A69" s="174" t="str">
        <f>SUMMARY!B75</f>
        <v>Norwalk Harbor</v>
      </c>
      <c r="B69" s="175">
        <f>SUMMARY!C75</f>
        <v>66</v>
      </c>
      <c r="C69" s="176">
        <f>SUMMARY!F75</f>
        <v>6850792</v>
      </c>
      <c r="D69" s="176">
        <f>SUMMARY!AT75</f>
        <v>155516900</v>
      </c>
      <c r="E69" s="176">
        <f>SUMMARY!P75</f>
        <v>265727.73895529623</v>
      </c>
      <c r="F69" s="176">
        <f>SUMMARY!Q75</f>
        <v>265727.73895529623</v>
      </c>
      <c r="G69" s="176">
        <f>SUMMARY!T75</f>
        <v>15485530.626199018</v>
      </c>
      <c r="H69" s="176">
        <f>SUMMARY!X75</f>
        <v>30971061.252398036</v>
      </c>
      <c r="I69" s="177">
        <f>SUMMARY!Y75</f>
        <v>0.4637029316566782</v>
      </c>
      <c r="J69" s="178">
        <f>SUMMARY!Z75</f>
        <v>27.022718734064036</v>
      </c>
      <c r="L69" s="151"/>
    </row>
    <row r="70" spans="1:12" ht="15" thickBot="1" x14ac:dyDescent="0.4">
      <c r="A70" s="174" t="str">
        <f>SUMMARY!B76</f>
        <v>Sheffield Island Harbor</v>
      </c>
      <c r="B70" s="175">
        <f>SUMMARY!C76</f>
        <v>67</v>
      </c>
      <c r="C70" s="176">
        <f>SUMMARY!F76</f>
        <v>388896</v>
      </c>
      <c r="D70" s="176">
        <f>SUMMARY!AT76</f>
        <v>4089727</v>
      </c>
      <c r="E70" s="176">
        <f>SUMMARY!P76</f>
        <v>7246.9364504086516</v>
      </c>
      <c r="F70" s="176">
        <f>SUMMARY!Q76</f>
        <v>7246.9364504086516</v>
      </c>
      <c r="G70" s="176">
        <f>SUMMARY!T76</f>
        <v>878982.74840127933</v>
      </c>
      <c r="H70" s="176">
        <f>SUMMARY!X76</f>
        <v>1757965.4968025587</v>
      </c>
      <c r="I70" s="177">
        <f>SUMMARY!Y76</f>
        <v>0.11839871258980469</v>
      </c>
      <c r="J70" s="178">
        <f>SUMMARY!Z76</f>
        <v>14.360609688179506</v>
      </c>
      <c r="L70" s="151"/>
    </row>
    <row r="71" spans="1:12" ht="15" thickBot="1" x14ac:dyDescent="0.4">
      <c r="A71" s="174" t="str">
        <f>SUMMARY!B77</f>
        <v>Five Mile River</v>
      </c>
      <c r="B71" s="175">
        <f>SUMMARY!C77</f>
        <v>68</v>
      </c>
      <c r="C71" s="176">
        <f>SUMMARY!F77</f>
        <v>425175</v>
      </c>
      <c r="D71" s="176">
        <f>SUMMARY!AT77</f>
        <v>33064690</v>
      </c>
      <c r="E71" s="176">
        <f>SUMMARY!P77</f>
        <v>57378.327921583637</v>
      </c>
      <c r="F71" s="176">
        <f>SUMMARY!Q77</f>
        <v>57378.327921583637</v>
      </c>
      <c r="G71" s="176">
        <f>SUMMARY!T77</f>
        <v>999161.20945531211</v>
      </c>
      <c r="H71" s="176">
        <f>SUMMARY!X77</f>
        <v>1998322.4189106242</v>
      </c>
      <c r="I71" s="177">
        <f>SUMMARY!Y77</f>
        <v>4.2553193216115955E-2</v>
      </c>
      <c r="J71" s="178">
        <f>SUMMARY!Z77</f>
        <v>0.74100277125723746</v>
      </c>
      <c r="L71" s="151"/>
    </row>
    <row r="72" spans="1:12" ht="15" thickBot="1" x14ac:dyDescent="0.4">
      <c r="A72" s="174" t="str">
        <f>SUMMARY!B78</f>
        <v>Scotts Cove</v>
      </c>
      <c r="B72" s="175">
        <f>SUMMARY!C78</f>
        <v>69</v>
      </c>
      <c r="C72" s="176">
        <f>SUMMARY!F78</f>
        <v>829319</v>
      </c>
      <c r="D72" s="176">
        <f>SUMMARY!AT78</f>
        <v>3424658</v>
      </c>
      <c r="E72" s="176">
        <f>SUMMARY!P78</f>
        <v>6079.2235371785273</v>
      </c>
      <c r="F72" s="176">
        <f>SUMMARY!Q78</f>
        <v>6079.2235371785273</v>
      </c>
      <c r="G72" s="176">
        <f>SUMMARY!T78</f>
        <v>1901462.5614354953</v>
      </c>
      <c r="H72" s="176">
        <f>SUMMARY!X78</f>
        <v>3802925.1228709905</v>
      </c>
      <c r="I72" s="177">
        <f>SUMMARY!Y78</f>
        <v>4.745681688230341E-2</v>
      </c>
      <c r="J72" s="178">
        <f>SUMMARY!Z78</f>
        <v>14.843566786899338</v>
      </c>
      <c r="L72" s="151"/>
    </row>
    <row r="73" spans="1:12" x14ac:dyDescent="0.35">
      <c r="A73" s="160" t="str">
        <f>SUMMARY!B79</f>
        <v>Gorham Pond</v>
      </c>
      <c r="B73" s="161">
        <f>SUMMARY!C79</f>
        <v>70</v>
      </c>
      <c r="C73" s="162">
        <f>SUMMARY!F79</f>
        <v>104162</v>
      </c>
      <c r="D73" s="162">
        <f>SUMMARY!AT79</f>
        <v>16979950</v>
      </c>
      <c r="E73" s="162">
        <f>SUMMARY!P79</f>
        <v>29662.935023003221</v>
      </c>
      <c r="F73" s="162">
        <f>SUMMARY!Q79</f>
        <v>29662.935023003221</v>
      </c>
      <c r="G73" s="162">
        <f>SUMMARY!T79</f>
        <v>237447.68530669325</v>
      </c>
      <c r="H73" s="162">
        <f>SUMMARY!X79</f>
        <v>474895.37061338651</v>
      </c>
      <c r="I73" s="163">
        <f>SUMMARY!Y79</f>
        <v>4.3867346976013605E-2</v>
      </c>
      <c r="J73" s="164">
        <f>SUMMARY!Z79</f>
        <v>0.35115203508763959</v>
      </c>
      <c r="L73" s="151"/>
    </row>
    <row r="74" spans="1:12" x14ac:dyDescent="0.35">
      <c r="A74" s="165" t="str">
        <f>SUMMARY!B80</f>
        <v>Darien River</v>
      </c>
      <c r="B74" s="156">
        <f>SUMMARY!C80</f>
        <v>71</v>
      </c>
      <c r="C74" s="157">
        <f>SUMMARY!F80</f>
        <v>628462</v>
      </c>
      <c r="D74" s="157">
        <f>SUMMARY!AT80</f>
        <v>1174086</v>
      </c>
      <c r="E74" s="157">
        <f>SUMMARY!P80</f>
        <v>2106.589852417017</v>
      </c>
      <c r="F74" s="159">
        <f>SUMMARY!Q80</f>
        <v>31769.52487542024</v>
      </c>
      <c r="G74" s="157">
        <f>SUMMARY!T80</f>
        <v>1354335.5920134175</v>
      </c>
      <c r="H74" s="157">
        <f>SUMMARY!X80</f>
        <v>2708671.184026835</v>
      </c>
      <c r="I74" s="158">
        <f>SUMMARY!Y80</f>
        <v>0.37889945070788961</v>
      </c>
      <c r="J74" s="166">
        <f>SUMMARY!Z80</f>
        <v>16.152492487700147</v>
      </c>
      <c r="L74" s="151"/>
    </row>
    <row r="75" spans="1:12" ht="24.5" thickBot="1" x14ac:dyDescent="0.4">
      <c r="A75" s="167" t="str">
        <f>SUMMARY!B81</f>
        <v>Gorham Pond + Darien River</v>
      </c>
      <c r="B75" s="168" t="str">
        <f>SUMMARY!C81</f>
        <v>70-71</v>
      </c>
      <c r="C75" s="169">
        <f>SUMMARY!F81</f>
        <v>732624</v>
      </c>
      <c r="D75" s="169">
        <f>SUMMARY!AT81</f>
        <v>18154036</v>
      </c>
      <c r="E75" s="169"/>
      <c r="F75" s="173">
        <f>SUMMARY!Q81</f>
        <v>31769.52487542024</v>
      </c>
      <c r="G75" s="169">
        <f>SUMMARY!T81</f>
        <v>1578804.6990323011</v>
      </c>
      <c r="H75" s="169">
        <f>SUMMARY!X81</f>
        <v>3157609.3980646022</v>
      </c>
      <c r="I75" s="170">
        <f>SUMMARY!Y81</f>
        <v>0.33162633238230343</v>
      </c>
      <c r="J75" s="171">
        <f>SUMMARY!Z81</f>
        <v>16.480360154618229</v>
      </c>
      <c r="L75" s="151"/>
    </row>
    <row r="76" spans="1:12" x14ac:dyDescent="0.35">
      <c r="A76" s="160" t="str">
        <f>SUMMARY!B82</f>
        <v>Holly Pond</v>
      </c>
      <c r="B76" s="161">
        <f>SUMMARY!C82</f>
        <v>72</v>
      </c>
      <c r="C76" s="162">
        <f>SUMMARY!F82</f>
        <v>790810</v>
      </c>
      <c r="D76" s="162">
        <f>SUMMARY!AT82</f>
        <v>30965810</v>
      </c>
      <c r="E76" s="162">
        <f>SUMMARY!P82</f>
        <v>53771.3199837469</v>
      </c>
      <c r="F76" s="162">
        <f>SUMMARY!Q82</f>
        <v>53771.3199837469</v>
      </c>
      <c r="G76" s="162">
        <f>SUMMARY!T82</f>
        <v>1847015.7563654331</v>
      </c>
      <c r="H76" s="162">
        <f>SUMMARY!X82</f>
        <v>3694031.5127308662</v>
      </c>
      <c r="I76" s="163">
        <f>SUMMARY!Y82</f>
        <v>4.2815552453984468E-2</v>
      </c>
      <c r="J76" s="164">
        <f>SUMMARY!Z82</f>
        <v>1.4706910677272436</v>
      </c>
      <c r="L76" s="151"/>
    </row>
    <row r="77" spans="1:12" x14ac:dyDescent="0.35">
      <c r="A77" s="165" t="str">
        <f>SUMMARY!B83</f>
        <v>Cove Harbor</v>
      </c>
      <c r="B77" s="156">
        <f>SUMMARY!C83</f>
        <v>73</v>
      </c>
      <c r="C77" s="157">
        <f>SUMMARY!F83</f>
        <v>1283774</v>
      </c>
      <c r="D77" s="157">
        <f>SUMMARY!AT83</f>
        <v>923915.8</v>
      </c>
      <c r="E77" s="157">
        <f>SUMMARY!P83</f>
        <v>1661.7020192104801</v>
      </c>
      <c r="F77" s="159">
        <f>SUMMARY!Q83</f>
        <v>55433.022002957383</v>
      </c>
      <c r="G77" s="157">
        <f>SUMMARY!T83</f>
        <v>2933166.9027778637</v>
      </c>
      <c r="H77" s="157">
        <f>SUMMARY!X83</f>
        <v>5866333.8055557273</v>
      </c>
      <c r="I77" s="158">
        <f>SUMMARY!Y83</f>
        <v>0.66199140914726107</v>
      </c>
      <c r="J77" s="166">
        <f>SUMMARY!Z83</f>
        <v>35.028422068175047</v>
      </c>
      <c r="L77" s="151"/>
    </row>
    <row r="78" spans="1:12" ht="24.5" thickBot="1" x14ac:dyDescent="0.4">
      <c r="A78" s="167" t="str">
        <f>SUMMARY!B84</f>
        <v>Holly Pond + Cove Harbor</v>
      </c>
      <c r="B78" s="168" t="str">
        <f>SUMMARY!C84</f>
        <v>72-73</v>
      </c>
      <c r="C78" s="169">
        <f>SUMMARY!F84</f>
        <v>2074584</v>
      </c>
      <c r="D78" s="169">
        <f>SUMMARY!AT84</f>
        <v>31889725.800000001</v>
      </c>
      <c r="E78" s="169"/>
      <c r="F78" s="173">
        <f>SUMMARY!Q84</f>
        <v>55433.022002957383</v>
      </c>
      <c r="G78" s="169">
        <f>SUMMARY!T84</f>
        <v>4740009.6324061016</v>
      </c>
      <c r="H78" s="169">
        <f>SUMMARY!X84</f>
        <v>9480019.2648122031</v>
      </c>
      <c r="I78" s="170">
        <f>SUMMARY!Y84</f>
        <v>0.42633084064182164</v>
      </c>
      <c r="J78" s="171">
        <f>SUMMARY!Z84</f>
        <v>36.455026592744915</v>
      </c>
      <c r="L78" s="151"/>
    </row>
    <row r="79" spans="1:12" ht="15" thickBot="1" x14ac:dyDescent="0.4">
      <c r="A79" s="174" t="str">
        <f>SUMMARY!B85</f>
        <v>Wescott Cove</v>
      </c>
      <c r="B79" s="175">
        <f>SUMMARY!C85</f>
        <v>74</v>
      </c>
      <c r="C79" s="176">
        <f>SUMMARY!F85</f>
        <v>1133856</v>
      </c>
      <c r="D79" s="176">
        <f>SUMMARY!AT85</f>
        <v>1952840</v>
      </c>
      <c r="E79" s="176">
        <f>SUMMARY!P85</f>
        <v>3486.0777822414771</v>
      </c>
      <c r="F79" s="176">
        <f>SUMMARY!Q85</f>
        <v>3486.0777822414771</v>
      </c>
      <c r="G79" s="176">
        <f>SUMMARY!T85</f>
        <v>2615352.3560010474</v>
      </c>
      <c r="H79" s="176">
        <f>SUMMARY!X85</f>
        <v>5230704.7120020948</v>
      </c>
      <c r="I79" s="177">
        <f>SUMMARY!Y85</f>
        <v>0.42275699555948293</v>
      </c>
      <c r="J79" s="178">
        <f>SUMMARY!Z85</f>
        <v>317.16403747064476</v>
      </c>
      <c r="L79" s="151"/>
    </row>
    <row r="80" spans="1:12" ht="15" thickBot="1" x14ac:dyDescent="0.4">
      <c r="A80" s="174" t="str">
        <f>SUMMARY!B86</f>
        <v>Stamford Harbor</v>
      </c>
      <c r="B80" s="175">
        <f>SUMMARY!C86</f>
        <v>75</v>
      </c>
      <c r="C80" s="176">
        <f>SUMMARY!F86</f>
        <v>3104133.9101789999</v>
      </c>
      <c r="D80" s="176">
        <f>SUMMARY!AT86</f>
        <v>78949820</v>
      </c>
      <c r="E80" s="176">
        <f>SUMMARY!P86</f>
        <v>135817.18040834906</v>
      </c>
      <c r="F80" s="176">
        <f>SUMMARY!Q86</f>
        <v>135817.18040834906</v>
      </c>
      <c r="G80" s="176">
        <f>SUMMARY!T86</f>
        <v>7171170.0846721455</v>
      </c>
      <c r="H80" s="176">
        <f>SUMMARY!X86</f>
        <v>14342340.169344291</v>
      </c>
      <c r="I80" s="177">
        <f>SUMMARY!Y86</f>
        <v>0.63703342131650675</v>
      </c>
      <c r="J80" s="178">
        <f>SUMMARY!Z86</f>
        <v>33.635472332338715</v>
      </c>
      <c r="L80" s="151"/>
    </row>
    <row r="81" spans="1:12" ht="15" thickBot="1" x14ac:dyDescent="0.4">
      <c r="A81" s="174" t="str">
        <f>SUMMARY!B87</f>
        <v>Greenwich Cove</v>
      </c>
      <c r="B81" s="175">
        <f>SUMMARY!C87</f>
        <v>76</v>
      </c>
      <c r="C81" s="176">
        <f>SUMMARY!F87</f>
        <v>2173371</v>
      </c>
      <c r="D81" s="176">
        <f>SUMMARY!AT87</f>
        <v>4917527</v>
      </c>
      <c r="E81" s="176">
        <f>SUMMARY!P87</f>
        <v>8697.7388343103521</v>
      </c>
      <c r="F81" s="176">
        <f>SUMMARY!Q87</f>
        <v>8697.7388343103521</v>
      </c>
      <c r="G81" s="176">
        <f>SUMMARY!T87</f>
        <v>5033527.2028343584</v>
      </c>
      <c r="H81" s="176">
        <f>SUMMARY!X87</f>
        <v>10067054.405668717</v>
      </c>
      <c r="I81" s="177">
        <f>SUMMARY!Y87</f>
        <v>0.2291384744374971</v>
      </c>
      <c r="J81" s="178">
        <f>SUMMARY!Z87</f>
        <v>132.60627460407744</v>
      </c>
      <c r="L81" s="151"/>
    </row>
    <row r="82" spans="1:12" ht="15" thickBot="1" x14ac:dyDescent="0.4">
      <c r="A82" s="174" t="str">
        <f>SUMMARY!B88</f>
        <v>Mianus River</v>
      </c>
      <c r="B82" s="175">
        <f>SUMMARY!C88</f>
        <v>77</v>
      </c>
      <c r="C82" s="176">
        <f>SUMMARY!F88</f>
        <v>1790604</v>
      </c>
      <c r="D82" s="176">
        <f>SUMMARY!AT88</f>
        <v>89295880</v>
      </c>
      <c r="E82" s="176">
        <f>SUMMARY!P88</f>
        <v>153426.4317623321</v>
      </c>
      <c r="F82" s="176">
        <f>SUMMARY!Q88</f>
        <v>153426.4317623321</v>
      </c>
      <c r="G82" s="176">
        <f>SUMMARY!T88</f>
        <v>4142025.1673207516</v>
      </c>
      <c r="H82" s="176">
        <f>SUMMARY!X88</f>
        <v>8284050.3346415032</v>
      </c>
      <c r="I82" s="177">
        <f>SUMMARY!Y88</f>
        <v>0.24309605691808489</v>
      </c>
      <c r="J82" s="178">
        <f>SUMMARY!Z88</f>
        <v>6.5628195498342627</v>
      </c>
      <c r="L82" s="151"/>
    </row>
    <row r="83" spans="1:12" ht="15" thickBot="1" x14ac:dyDescent="0.4">
      <c r="A83" s="174" t="str">
        <f>SUMMARY!B89</f>
        <v>Indian Harbor</v>
      </c>
      <c r="B83" s="175">
        <f>SUMMARY!C89</f>
        <v>78</v>
      </c>
      <c r="C83" s="176">
        <f>SUMMARY!F89</f>
        <v>233186</v>
      </c>
      <c r="D83" s="176">
        <f>SUMMARY!AT89</f>
        <v>22320940</v>
      </c>
      <c r="E83" s="176">
        <f>SUMMARY!P89</f>
        <v>38886.82025710064</v>
      </c>
      <c r="F83" s="176">
        <f>SUMMARY!Q89</f>
        <v>38886.82025710064</v>
      </c>
      <c r="G83" s="176">
        <f>SUMMARY!T89</f>
        <v>541411.25328895473</v>
      </c>
      <c r="H83" s="176">
        <f>SUMMARY!X89</f>
        <v>1082822.5065779095</v>
      </c>
      <c r="I83" s="177">
        <f>SUMMARY!Y89</f>
        <v>0.41062353354576209</v>
      </c>
      <c r="J83" s="178">
        <f>SUMMARY!Z89</f>
        <v>5.7170064422111189</v>
      </c>
      <c r="L83" s="151"/>
    </row>
    <row r="84" spans="1:12" ht="15" thickBot="1" x14ac:dyDescent="0.4">
      <c r="A84" s="174" t="str">
        <f>SUMMARY!B90</f>
        <v>Smith Cove</v>
      </c>
      <c r="B84" s="175">
        <f>SUMMARY!C90</f>
        <v>79</v>
      </c>
      <c r="C84" s="176">
        <f>SUMMARY!F90</f>
        <v>105351</v>
      </c>
      <c r="D84" s="176">
        <f>SUMMARY!AT90</f>
        <v>209318.39999999999</v>
      </c>
      <c r="E84" s="176">
        <f>SUMMARY!P90</f>
        <v>382.09944754920684</v>
      </c>
      <c r="F84" s="176">
        <f>SUMMARY!Q90</f>
        <v>382.09944754920684</v>
      </c>
      <c r="G84" s="176">
        <f>SUMMARY!T90</f>
        <v>243466.17245376072</v>
      </c>
      <c r="H84" s="176">
        <f>SUMMARY!X90</f>
        <v>486932.34490752144</v>
      </c>
      <c r="I84" s="177">
        <f>SUMMARY!Y90</f>
        <v>4.3271309085046852E-2</v>
      </c>
      <c r="J84" s="178">
        <f>SUMMARY!Z90</f>
        <v>27.571617984721865</v>
      </c>
      <c r="L84" s="151"/>
    </row>
    <row r="85" spans="1:12" ht="15" thickBot="1" x14ac:dyDescent="0.4">
      <c r="A85" s="174" t="str">
        <f>SUMMARY!B91</f>
        <v>Greenwich Harbor</v>
      </c>
      <c r="B85" s="175">
        <f>SUMMARY!C91</f>
        <v>80</v>
      </c>
      <c r="C85" s="176">
        <f>SUMMARY!F91</f>
        <v>266243</v>
      </c>
      <c r="D85" s="176">
        <f>SUMMARY!AT91</f>
        <v>7401573</v>
      </c>
      <c r="E85" s="176">
        <f>SUMMARY!P91</f>
        <v>13037.906553981282</v>
      </c>
      <c r="F85" s="176">
        <f>SUMMARY!Q91</f>
        <v>13037.906553981282</v>
      </c>
      <c r="G85" s="176">
        <f>SUMMARY!T91</f>
        <v>618003.2233675922</v>
      </c>
      <c r="H85" s="176">
        <f>SUMMARY!X91</f>
        <v>1236006.4467351844</v>
      </c>
      <c r="I85" s="177">
        <f>SUMMARY!Y91</f>
        <v>0.3314665208378037</v>
      </c>
      <c r="J85" s="178">
        <f>SUMMARY!Z91</f>
        <v>15.711677136821574</v>
      </c>
      <c r="L85" s="151"/>
    </row>
    <row r="86" spans="1:12" ht="15" thickBot="1" x14ac:dyDescent="0.4">
      <c r="A86" s="174" t="str">
        <f>SUMMARY!B92</f>
        <v>Captain Harbor</v>
      </c>
      <c r="B86" s="175">
        <f>SUMMARY!C92</f>
        <v>81</v>
      </c>
      <c r="C86" s="176">
        <f>SUMMARY!F92</f>
        <v>359069</v>
      </c>
      <c r="D86" s="176">
        <f>SUMMARY!AT92</f>
        <v>3555223</v>
      </c>
      <c r="E86" s="176">
        <f>SUMMARY!P92</f>
        <v>6308.6328905217106</v>
      </c>
      <c r="F86" s="176">
        <f>SUMMARY!Q92</f>
        <v>6308.6328905217106</v>
      </c>
      <c r="G86" s="176">
        <f>SUMMARY!T92</f>
        <v>833255.5331774631</v>
      </c>
      <c r="H86" s="176">
        <f>SUMMARY!X92</f>
        <v>1666511.0663549262</v>
      </c>
      <c r="I86" s="177">
        <f>SUMMARY!Y92</f>
        <v>0.18895280576281054</v>
      </c>
      <c r="J86" s="178">
        <f>SUMMARY!Z92</f>
        <v>24.957225066594084</v>
      </c>
      <c r="L86" s="151"/>
    </row>
    <row r="87" spans="1:12" x14ac:dyDescent="0.35">
      <c r="A87" s="160" t="str">
        <f>SUMMARY!B93</f>
        <v>Byram River</v>
      </c>
      <c r="B87" s="161">
        <f>SUMMARY!C93</f>
        <v>82</v>
      </c>
      <c r="C87" s="162">
        <f>SUMMARY!F93</f>
        <v>123197</v>
      </c>
      <c r="D87" s="162">
        <f>SUMMARY!AT93</f>
        <v>70263220</v>
      </c>
      <c r="E87" s="162">
        <f>SUMMARY!P93</f>
        <v>121014.62116150717</v>
      </c>
      <c r="F87" s="162">
        <f>SUMMARY!Q93</f>
        <v>121014.62116150717</v>
      </c>
      <c r="G87" s="162">
        <f>SUMMARY!T93</f>
        <v>286285.19931567507</v>
      </c>
      <c r="H87" s="162">
        <f>SUMMARY!X93</f>
        <v>572570.39863135014</v>
      </c>
      <c r="I87" s="163">
        <f>SUMMARY!Y93</f>
        <v>4.3032961639122555E-2</v>
      </c>
      <c r="J87" s="164">
        <f>SUMMARY!Z93</f>
        <v>0.10180340095894712</v>
      </c>
      <c r="L87" s="151"/>
    </row>
    <row r="88" spans="1:12" x14ac:dyDescent="0.35">
      <c r="A88" s="165" t="str">
        <f>SUMMARY!B94</f>
        <v>Kirby Pond, NY</v>
      </c>
      <c r="B88" s="156">
        <f>SUMMARY!C94</f>
        <v>83</v>
      </c>
      <c r="C88" s="157">
        <f>SUMMARY!F94</f>
        <v>703961</v>
      </c>
      <c r="D88" s="157">
        <f>SUMMARY!AT94</f>
        <v>741495.1</v>
      </c>
      <c r="E88" s="157">
        <f>SUMMARY!P94</f>
        <v>1336.5471372379852</v>
      </c>
      <c r="F88" s="159">
        <f>SUMMARY!Q94</f>
        <v>124868.91953215307</v>
      </c>
      <c r="G88" s="157">
        <f>SUMMARY!T94</f>
        <v>1635864.6330305277</v>
      </c>
      <c r="H88" s="157">
        <f>SUMMARY!X94</f>
        <v>3271729.2660610555</v>
      </c>
      <c r="I88" s="158">
        <f>SUMMARY!Y94</f>
        <v>0.19229095525812584</v>
      </c>
      <c r="J88" s="166">
        <f>SUMMARY!Z94</f>
        <v>2.5191374614034814</v>
      </c>
      <c r="L88" s="151"/>
    </row>
    <row r="89" spans="1:12" x14ac:dyDescent="0.35">
      <c r="A89" s="165" t="str">
        <f>SUMMARY!B95</f>
        <v>Playland Lake, NY</v>
      </c>
      <c r="B89" s="156">
        <f>SUMMARY!C95</f>
        <v>84</v>
      </c>
      <c r="C89" s="157">
        <f>SUMMARY!F95</f>
        <v>363764</v>
      </c>
      <c r="D89" s="157">
        <f>SUMMARY!AT95</f>
        <v>1405772</v>
      </c>
      <c r="E89" s="157">
        <f>SUMMARY!P95</f>
        <v>2517.7512334079288</v>
      </c>
      <c r="F89" s="157">
        <f>SUMMARY!Q95</f>
        <v>2517.7512334079288</v>
      </c>
      <c r="G89" s="157">
        <f>SUMMARY!T95</f>
        <v>845314.81484019267</v>
      </c>
      <c r="H89" s="157">
        <f>SUMMARY!X95</f>
        <v>1690629.6296803853</v>
      </c>
      <c r="I89" s="158">
        <f>SUMMARY!Y95</f>
        <v>4.3032961639122562E-2</v>
      </c>
      <c r="J89" s="166">
        <f>SUMMARY!Z95</f>
        <v>14.447972268794141</v>
      </c>
      <c r="L89" s="151"/>
    </row>
    <row r="90" spans="1:12" ht="36.5" thickBot="1" x14ac:dyDescent="0.4">
      <c r="A90" s="167" t="str">
        <f>SUMMARY!B96</f>
        <v>Byram R. + Kirby P. + Playland L.</v>
      </c>
      <c r="B90" s="168" t="str">
        <f>SUMMARY!C96</f>
        <v>82-83-84</v>
      </c>
      <c r="C90" s="169">
        <f>SUMMARY!F96</f>
        <v>1190922</v>
      </c>
      <c r="D90" s="169">
        <f>SUMMARY!AT96</f>
        <v>72410487.099999994</v>
      </c>
      <c r="E90" s="169"/>
      <c r="F90" s="173">
        <f>SUMMARY!Q96</f>
        <v>124868.91953215307</v>
      </c>
      <c r="G90" s="169">
        <f>SUMMARY!T96</f>
        <v>2767464.6471863957</v>
      </c>
      <c r="H90" s="169">
        <f>SUMMARY!X96</f>
        <v>5534929.2943727914</v>
      </c>
      <c r="I90" s="170">
        <f>SUMMARY!Y96</f>
        <v>0.13126023970269612</v>
      </c>
      <c r="J90" s="171">
        <f>SUMMARY!Z96</f>
        <v>2.9091152091284549</v>
      </c>
      <c r="L90" s="151"/>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W91"/>
  <sheetViews>
    <sheetView workbookViewId="0"/>
  </sheetViews>
  <sheetFormatPr defaultRowHeight="14.5" x14ac:dyDescent="0.35"/>
  <cols>
    <col min="1" max="1" width="31.26953125" bestFit="1" customWidth="1"/>
    <col min="2" max="2" width="13.1796875" style="187" customWidth="1"/>
    <col min="3" max="4" width="13.1796875" style="189" customWidth="1"/>
    <col min="5" max="5" width="13.1796875" style="186" customWidth="1"/>
    <col min="6" max="6" width="26.1796875" style="132" customWidth="1"/>
    <col min="8" max="8" width="36.6328125" bestFit="1" customWidth="1"/>
    <col min="10" max="12" width="13.1796875" customWidth="1"/>
    <col min="13" max="13" width="26.1796875" customWidth="1"/>
    <col min="15" max="15" width="36.6328125" style="185" bestFit="1" customWidth="1"/>
    <col min="16" max="16" width="12.54296875" style="185" customWidth="1"/>
  </cols>
  <sheetData>
    <row r="1" spans="1:23" x14ac:dyDescent="0.35">
      <c r="I1" t="s">
        <v>548</v>
      </c>
      <c r="O1" s="185" t="s">
        <v>542</v>
      </c>
    </row>
    <row r="2" spans="1:23" x14ac:dyDescent="0.35">
      <c r="A2" t="s">
        <v>532</v>
      </c>
      <c r="B2" s="192" t="s">
        <v>533</v>
      </c>
      <c r="H2" t="s">
        <v>540</v>
      </c>
      <c r="I2" t="s">
        <v>541</v>
      </c>
      <c r="O2" s="185" t="s">
        <v>543</v>
      </c>
      <c r="P2" s="185" t="s">
        <v>544</v>
      </c>
      <c r="U2" t="s">
        <v>547</v>
      </c>
    </row>
    <row r="3" spans="1:23" s="151" customFormat="1" ht="58" x14ac:dyDescent="0.35">
      <c r="A3" s="151" t="s">
        <v>534</v>
      </c>
      <c r="B3" s="193" t="s">
        <v>535</v>
      </c>
      <c r="C3" s="190" t="s">
        <v>536</v>
      </c>
      <c r="D3" s="190" t="s">
        <v>537</v>
      </c>
      <c r="E3" s="151" t="s">
        <v>538</v>
      </c>
      <c r="F3" s="188" t="s">
        <v>539</v>
      </c>
      <c r="H3" s="151" t="s">
        <v>534</v>
      </c>
      <c r="I3" s="151" t="s">
        <v>535</v>
      </c>
      <c r="J3" s="151" t="s">
        <v>536</v>
      </c>
      <c r="K3" s="151" t="s">
        <v>537</v>
      </c>
      <c r="L3" s="151" t="s">
        <v>538</v>
      </c>
      <c r="M3" s="151" t="s">
        <v>539</v>
      </c>
      <c r="O3" s="151" t="s">
        <v>534</v>
      </c>
      <c r="P3" s="151" t="s">
        <v>536</v>
      </c>
      <c r="U3" s="151" t="s">
        <v>545</v>
      </c>
      <c r="V3" s="151" t="s">
        <v>546</v>
      </c>
      <c r="W3" s="151" t="s">
        <v>543</v>
      </c>
    </row>
    <row r="4" spans="1:23" x14ac:dyDescent="0.35">
      <c r="A4" t="str">
        <f>SUMMARY!$B$6</f>
        <v>Wequetequock Cove</v>
      </c>
      <c r="B4" s="191">
        <f>SUMMARY!$A$6</f>
        <v>3</v>
      </c>
      <c r="C4" s="189">
        <f>SUMMARY!$AA$6</f>
        <v>3.9406304292484373E-2</v>
      </c>
      <c r="D4" s="189">
        <f>SUMMARY!$AB$6</f>
        <v>2.4876670075949001E-2</v>
      </c>
      <c r="E4" s="187">
        <f>SUMMARY!$BG$6</f>
        <v>0</v>
      </c>
      <c r="F4" s="132">
        <f>SUMMARY!$AC$6</f>
        <v>2.1042885161476996</v>
      </c>
      <c r="G4">
        <v>1</v>
      </c>
      <c r="H4" t="str">
        <f>SUMMARY!$B$73</f>
        <v>Saugatuck River</v>
      </c>
      <c r="I4" s="191">
        <f>SUMMARY!$A$73</f>
        <v>64</v>
      </c>
      <c r="J4" s="189">
        <f>SUMMARY!$AA$73</f>
        <v>3.4256192559547614E-2</v>
      </c>
      <c r="K4" s="189">
        <f>SUMMARY!$AB$73</f>
        <v>2.2972421654345477E-2</v>
      </c>
      <c r="L4" s="187">
        <f>SUMMARY!$BG$73</f>
        <v>5.7900516404899616</v>
      </c>
      <c r="M4" s="132">
        <f>SUMMARY!$AC$73</f>
        <v>2.2353546359452592</v>
      </c>
      <c r="O4" t="str">
        <f>SUMMARY!$B$85</f>
        <v>Wescott Cove</v>
      </c>
      <c r="P4" s="189">
        <f>SUMMARY!$AA$85</f>
        <v>6.6646426708862191E-4</v>
      </c>
      <c r="U4">
        <v>64</v>
      </c>
      <c r="V4">
        <v>3</v>
      </c>
      <c r="W4" t="s">
        <v>466</v>
      </c>
    </row>
    <row r="5" spans="1:23" x14ac:dyDescent="0.35">
      <c r="A5" t="str">
        <f>SUMMARY!$B$8</f>
        <v>Quanaduck Cove</v>
      </c>
      <c r="B5" s="191">
        <f>SUMMARY!$A$8</f>
        <v>4</v>
      </c>
      <c r="C5" s="189">
        <f>SUMMARY!$AA$8</f>
        <v>1.1019455342967017E-2</v>
      </c>
      <c r="D5" s="189">
        <f>SUMMARY!$AB$8</f>
        <v>8.3630613639612099E-3</v>
      </c>
      <c r="E5" s="187">
        <f>SUMMARY!$BG$8</f>
        <v>0</v>
      </c>
      <c r="F5" s="132">
        <f>SUMMARY!$AC$8</f>
        <v>2.529786667813485</v>
      </c>
      <c r="G5">
        <v>2</v>
      </c>
      <c r="H5" t="str">
        <f>SUMMARY!$B$94</f>
        <v>Kirby Pond, NY</v>
      </c>
      <c r="I5" s="132">
        <f>SUMMARY!$A$94</f>
        <v>83</v>
      </c>
      <c r="J5" s="189">
        <f>SUMMARY!$AA$94</f>
        <v>3.816603067603052E-2</v>
      </c>
      <c r="K5" s="189">
        <f>SUMMARY!$AB$94</f>
        <v>2.7770473105193403E-2</v>
      </c>
      <c r="L5" s="187">
        <f>SUMMARY!$BG$94</f>
        <v>14.426440509315356</v>
      </c>
      <c r="M5" s="132">
        <f>SUMMARY!$AC$94</f>
        <v>2.425409245979405</v>
      </c>
      <c r="O5" t="str">
        <f>SUMMARY!$B$90</f>
        <v>Smith Cove</v>
      </c>
      <c r="P5" s="189">
        <f>SUMMARY!$AA$90</f>
        <v>7.84707468183851E-4</v>
      </c>
      <c r="U5">
        <v>83</v>
      </c>
      <c r="V5">
        <v>4</v>
      </c>
      <c r="W5" t="s">
        <v>470</v>
      </c>
    </row>
    <row r="6" spans="1:23" x14ac:dyDescent="0.35">
      <c r="A6" t="str">
        <f>SUMMARY!$B$11</f>
        <v>Quiambog Cove</v>
      </c>
      <c r="B6" s="191">
        <f>SUMMARY!$A$11</f>
        <v>6</v>
      </c>
      <c r="C6" s="189">
        <f>SUMMARY!$AA$11</f>
        <v>6.5391140339017009E-2</v>
      </c>
      <c r="D6" s="189">
        <f>SUMMARY!$AB$11</f>
        <v>2.7845005719669004E-2</v>
      </c>
      <c r="E6" s="187">
        <f>SUMMARY!$BG$11</f>
        <v>0</v>
      </c>
      <c r="F6" s="132">
        <f>SUMMARY!$AC$11</f>
        <v>1.4194076636533126</v>
      </c>
      <c r="G6">
        <v>3</v>
      </c>
      <c r="H6" t="str">
        <f>SUMMARY!$B$96</f>
        <v>Byram R. + Kirby P. + Playland L.</v>
      </c>
      <c r="I6" s="132">
        <f>SUMMARY!$A$96</f>
        <v>84.5</v>
      </c>
      <c r="J6" s="189">
        <f>SUMMARY!$AA$96</f>
        <v>2.2560165250729368E-2</v>
      </c>
      <c r="K6" s="189">
        <f>SUMMARY!$AB$96</f>
        <v>1.666581298436183E-2</v>
      </c>
      <c r="L6" s="187">
        <f>SUMMARY!$BG$96</f>
        <v>14.426440509315356</v>
      </c>
      <c r="M6" s="132">
        <f>SUMMARY!$AC$96</f>
        <v>2.4624247797155103</v>
      </c>
      <c r="O6" t="str">
        <f>SUMMARY!$B$87</f>
        <v>Greenwich Cove</v>
      </c>
      <c r="P6" s="189">
        <f>SUMMARY!$AA$87</f>
        <v>8.6398051344717982E-4</v>
      </c>
      <c r="U6">
        <v>82</v>
      </c>
      <c r="V6">
        <v>6</v>
      </c>
      <c r="W6" t="s">
        <v>467</v>
      </c>
    </row>
    <row r="7" spans="1:23" x14ac:dyDescent="0.35">
      <c r="A7" t="str">
        <f>SUMMARY!$B$12</f>
        <v>Wilcox Cove</v>
      </c>
      <c r="B7" s="191">
        <f>SUMMARY!$A$12</f>
        <v>7</v>
      </c>
      <c r="C7" s="189">
        <f>SUMMARY!$AA$12</f>
        <v>5.2517172781267512E-3</v>
      </c>
      <c r="D7" s="189">
        <f>SUMMARY!$AB$12</f>
        <v>3.3514831103511108E-3</v>
      </c>
      <c r="E7" s="187">
        <f>SUMMARY!$BG$12</f>
        <v>0</v>
      </c>
      <c r="F7" s="132">
        <f>SUMMARY!$AC$12</f>
        <v>2.1272299661610625</v>
      </c>
      <c r="G7">
        <v>4</v>
      </c>
      <c r="H7" t="str">
        <f>SUMMARY!$B$93</f>
        <v>Byram River</v>
      </c>
      <c r="I7" s="132">
        <f>SUMMARY!$A$93</f>
        <v>82</v>
      </c>
      <c r="J7" s="189">
        <f>SUMMARY!$AA$93</f>
        <v>0.21135326145182456</v>
      </c>
      <c r="K7" s="189">
        <f>SUMMARY!$AB$93</f>
        <v>0.12536941927396414</v>
      </c>
      <c r="L7" s="187">
        <f>SUMMARY!$BG$93</f>
        <v>15.64931463493151</v>
      </c>
      <c r="M7" s="132">
        <f>SUMMARY!$AC$93</f>
        <v>1.9772491863902559</v>
      </c>
      <c r="O7" t="str">
        <f>SUMMARY!$B$74</f>
        <v>Cockenoe Harbor</v>
      </c>
      <c r="P7" s="189">
        <f>SUMMARY!$AA$74</f>
        <v>1.3372603550351686E-3</v>
      </c>
      <c r="U7">
        <v>68</v>
      </c>
      <c r="V7">
        <v>7</v>
      </c>
      <c r="W7" t="s">
        <v>459</v>
      </c>
    </row>
    <row r="8" spans="1:23" x14ac:dyDescent="0.35">
      <c r="A8" t="str">
        <f>SUMMARY!$B$13</f>
        <v>Williams Cove</v>
      </c>
      <c r="B8" s="191">
        <f>SUMMARY!$A$13</f>
        <v>8</v>
      </c>
      <c r="C8" s="189">
        <f>SUMMARY!$AA$13</f>
        <v>0.10758025200055754</v>
      </c>
      <c r="D8" s="189">
        <f>SUMMARY!$AB$13</f>
        <v>0.12274550410796395</v>
      </c>
      <c r="E8" s="187">
        <f>SUMMARY!$BG$13</f>
        <v>0</v>
      </c>
      <c r="F8" s="132">
        <f>SUMMARY!$AC$13</f>
        <v>3.8032229219704687</v>
      </c>
      <c r="G8">
        <v>5</v>
      </c>
      <c r="H8" t="str">
        <f>SUMMARY!$B$10</f>
        <v>Quanaduck C. + Stonington H.</v>
      </c>
      <c r="I8" s="132">
        <f>SUMMARY!$A$10</f>
        <v>5.5</v>
      </c>
      <c r="J8" s="189">
        <f>SUMMARY!$AA$10</f>
        <v>4.1633180272137513E-3</v>
      </c>
      <c r="K8" s="189">
        <f>SUMMARY!$AB$10</f>
        <v>5.0243177478637062E-3</v>
      </c>
      <c r="L8" s="187">
        <f>SUMMARY!$BG$10</f>
        <v>17.886555913129218</v>
      </c>
      <c r="M8" s="132">
        <f>SUMMARY!$AC$10</f>
        <v>4.0226871252063736</v>
      </c>
      <c r="O8" t="str">
        <f>SUMMARY!$B$95</f>
        <v>Playland Lake, NY</v>
      </c>
      <c r="P8" s="189">
        <f>SUMMARY!$AA$95</f>
        <v>1.4892387955390983E-3</v>
      </c>
      <c r="U8">
        <v>5</v>
      </c>
      <c r="V8">
        <v>8</v>
      </c>
      <c r="W8" t="s">
        <v>82</v>
      </c>
    </row>
    <row r="9" spans="1:23" x14ac:dyDescent="0.35">
      <c r="A9" t="str">
        <f>SUMMARY!$B$15</f>
        <v>Bebee Cove</v>
      </c>
      <c r="B9" s="191">
        <f>SUMMARY!$A$15</f>
        <v>10</v>
      </c>
      <c r="C9" s="189">
        <f>SUMMARY!$AA$15</f>
        <v>3.3243195702892738E-3</v>
      </c>
      <c r="D9" s="189">
        <f>SUMMARY!$AB$15</f>
        <v>3.9301112433172795E-3</v>
      </c>
      <c r="E9" s="187">
        <f>SUMMARY!$BG$15</f>
        <v>0</v>
      </c>
      <c r="F9" s="132">
        <f>SUMMARY!$AC$15</f>
        <v>3.9407675868892582</v>
      </c>
      <c r="G9">
        <v>6</v>
      </c>
      <c r="H9" t="str">
        <f>SUMMARY!$B$5</f>
        <v>Little Narragansett Bay</v>
      </c>
      <c r="I9" s="132">
        <f>SUMMARY!$A$5</f>
        <v>2</v>
      </c>
      <c r="J9" s="189">
        <f>SUMMARY!$AA$5</f>
        <v>6.9559179084265621E-2</v>
      </c>
      <c r="K9" s="189">
        <f>SUMMARY!$AB$5</f>
        <v>3.6930537854814358E-2</v>
      </c>
      <c r="L9" s="187">
        <f>SUMMARY!$BG$5</f>
        <v>19.863457170345178</v>
      </c>
      <c r="M9" s="132">
        <f>SUMMARY!$AC$5</f>
        <v>1.7697418869801897</v>
      </c>
      <c r="O9" t="str">
        <f>SUMMARY!$B$17</f>
        <v>West Cove</v>
      </c>
      <c r="P9" s="189">
        <f>SUMMARY!$AA$17</f>
        <v>1.5721313308953702E-3</v>
      </c>
      <c r="U9">
        <v>2</v>
      </c>
      <c r="V9">
        <v>10</v>
      </c>
      <c r="W9" t="s">
        <v>414</v>
      </c>
    </row>
    <row r="10" spans="1:23" x14ac:dyDescent="0.35">
      <c r="A10" t="str">
        <f>SUMMARY!$B$17</f>
        <v>West Cove</v>
      </c>
      <c r="B10" s="191">
        <f>SUMMARY!$A$17</f>
        <v>11</v>
      </c>
      <c r="C10" s="189">
        <f>SUMMARY!$AA$17</f>
        <v>1.5721313308953702E-3</v>
      </c>
      <c r="D10" s="189">
        <f>SUMMARY!$AB$17</f>
        <v>2.2609196923664954E-3</v>
      </c>
      <c r="E10" s="187">
        <f>SUMMARY!$BG$17</f>
        <v>0</v>
      </c>
      <c r="F10" s="132">
        <f>SUMMARY!$AC$17</f>
        <v>4.7937464424570733</v>
      </c>
      <c r="G10">
        <v>7</v>
      </c>
      <c r="H10" t="str">
        <f>SUMMARY!$B$7</f>
        <v>Little Narragansett B. + Wequetequock C. + Pawcatuck R. (30%)</v>
      </c>
      <c r="I10" s="132">
        <f>SUMMARY!$A$7</f>
        <v>3.5</v>
      </c>
      <c r="J10" s="189">
        <f>SUMMARY!$AA$7</f>
        <v>3.3936614412505846E-2</v>
      </c>
      <c r="K10" s="189">
        <f>SUMMARY!$AB$7</f>
        <v>1.8638484761087069E-2</v>
      </c>
      <c r="L10" s="187">
        <f>SUMMARY!$BG$7</f>
        <v>19.863457170345178</v>
      </c>
      <c r="M10" s="132">
        <f>SUMMARY!$AC$7</f>
        <v>1.8307153972926142</v>
      </c>
      <c r="O10" t="str">
        <f>SUMMARY!$B$78</f>
        <v>Scotts Cove</v>
      </c>
      <c r="P10" s="189">
        <f>SUMMARY!$AA$78</f>
        <v>1.598565141505879E-3</v>
      </c>
      <c r="U10">
        <v>1</v>
      </c>
      <c r="V10">
        <v>11</v>
      </c>
      <c r="W10" t="s">
        <v>461</v>
      </c>
    </row>
    <row r="11" spans="1:23" x14ac:dyDescent="0.35">
      <c r="A11" t="str">
        <f>SUMMARY!$B$18</f>
        <v>Palmer Cove</v>
      </c>
      <c r="B11" s="191">
        <f>SUMMARY!$A$18</f>
        <v>12</v>
      </c>
      <c r="C11" s="189">
        <f>SUMMARY!$AA$18</f>
        <v>1.6131154063704026E-2</v>
      </c>
      <c r="D11" s="189">
        <f>SUMMARY!$AB$18</f>
        <v>1.2544717055074499E-2</v>
      </c>
      <c r="E11" s="187">
        <f>SUMMARY!$BG$18</f>
        <v>0</v>
      </c>
      <c r="F11" s="132">
        <f>SUMMARY!$AC$18</f>
        <v>2.5922338446325206</v>
      </c>
      <c r="G11">
        <v>8</v>
      </c>
      <c r="H11" t="str">
        <f>SUMMARY!$B$77</f>
        <v>Five Mile River</v>
      </c>
      <c r="I11" s="132">
        <f>SUMMARY!$A$77</f>
        <v>68</v>
      </c>
      <c r="J11" s="189">
        <f>SUMMARY!$AA$77</f>
        <v>2.871324836202516E-2</v>
      </c>
      <c r="K11" s="189">
        <f>SUMMARY!$AB$77</f>
        <v>2.2839502357517995E-2</v>
      </c>
      <c r="L11" s="187">
        <f>SUMMARY!$BG$77</f>
        <v>20.609980217923127</v>
      </c>
      <c r="M11" s="132">
        <f>SUMMARY!$AC$77</f>
        <v>2.6514476371732387</v>
      </c>
      <c r="O11" t="str">
        <f>SUMMARY!$B$37</f>
        <v>South Cove</v>
      </c>
      <c r="P11" s="189">
        <f>SUMMARY!$AA$37</f>
        <v>1.6925190291204961E-3</v>
      </c>
      <c r="U11">
        <v>9</v>
      </c>
      <c r="V11">
        <v>12</v>
      </c>
      <c r="W11" t="s">
        <v>430</v>
      </c>
    </row>
    <row r="12" spans="1:23" x14ac:dyDescent="0.35">
      <c r="A12" t="str">
        <f>SUMMARY!$B$19</f>
        <v>Venetian Harbor</v>
      </c>
      <c r="B12" s="191">
        <f>SUMMARY!$A$19</f>
        <v>13</v>
      </c>
      <c r="C12" s="189">
        <f>SUMMARY!$AA$19</f>
        <v>2.523369996848331E-3</v>
      </c>
      <c r="D12" s="189">
        <f>SUMMARY!$AB$19</f>
        <v>2.8769450117968336E-3</v>
      </c>
      <c r="E12" s="187">
        <f>SUMMARY!$BG$19</f>
        <v>0</v>
      </c>
      <c r="F12" s="132">
        <f>SUMMARY!$AC$19</f>
        <v>3.8004005429116816</v>
      </c>
      <c r="G12">
        <v>9</v>
      </c>
      <c r="H12" t="str">
        <f>SUMMARY!$B$9</f>
        <v>Stonington Harbor</v>
      </c>
      <c r="I12" s="132">
        <f>SUMMARY!$A$9</f>
        <v>5</v>
      </c>
      <c r="J12" s="189">
        <f>SUMMARY!$AA$9</f>
        <v>4.5986523994733051E-3</v>
      </c>
      <c r="K12" s="189">
        <f>SUMMARY!$AB$9</f>
        <v>4.6656210437609922E-3</v>
      </c>
      <c r="L12" s="187">
        <f>SUMMARY!$BG$9</f>
        <v>21.266553771075618</v>
      </c>
      <c r="M12" s="132">
        <f>SUMMARY!$AC$9</f>
        <v>3.3818755572069747</v>
      </c>
      <c r="O12" t="str">
        <f>SUMMARY!$B$64</f>
        <v>Black Rock Harbor</v>
      </c>
      <c r="P12" s="189">
        <f>SUMMARY!$AA$64</f>
        <v>1.9248488548890734E-3</v>
      </c>
      <c r="U12">
        <v>54</v>
      </c>
      <c r="V12">
        <v>13</v>
      </c>
      <c r="W12" t="s">
        <v>452</v>
      </c>
    </row>
    <row r="13" spans="1:23" x14ac:dyDescent="0.35">
      <c r="A13" t="str">
        <f>SUMMARY!$B$20</f>
        <v>Mumford Cove</v>
      </c>
      <c r="B13" s="191">
        <f>SUMMARY!$A$20</f>
        <v>14</v>
      </c>
      <c r="C13" s="189">
        <f>SUMMARY!$AA$20</f>
        <v>6.9979621025089058E-3</v>
      </c>
      <c r="D13" s="189">
        <f>SUMMARY!$AB$20</f>
        <v>5.2458508782643864E-3</v>
      </c>
      <c r="E13" s="187">
        <f>SUMMARY!$BG$20</f>
        <v>0</v>
      </c>
      <c r="F13" s="132">
        <f>SUMMARY!$AC$20</f>
        <v>2.4987516848577229</v>
      </c>
      <c r="G13">
        <v>10</v>
      </c>
      <c r="H13" t="str">
        <f>SUMMARY!$B$4</f>
        <v>Pawcatuck River, CT &amp; RI</v>
      </c>
      <c r="I13" s="132">
        <f>SUMMARY!$A$4</f>
        <v>1</v>
      </c>
      <c r="J13" s="189">
        <f>SUMMARY!$AA$4</f>
        <v>0.23830978434408229</v>
      </c>
      <c r="K13" s="189">
        <f>SUMMARY!$AB$4</f>
        <v>0.10303747817737444</v>
      </c>
      <c r="L13" s="187">
        <f>SUMMARY!$BG$4</f>
        <v>25.295693204676734</v>
      </c>
      <c r="M13" s="132">
        <f>SUMMARY!$AC$4</f>
        <v>1.441226014016058</v>
      </c>
      <c r="O13" t="str">
        <f>SUMMARY!$B$48</f>
        <v>Sachem Head Harbor</v>
      </c>
      <c r="P13" s="189">
        <f>SUMMARY!$AA$48</f>
        <v>2.0638419567957822E-3</v>
      </c>
      <c r="U13">
        <v>45</v>
      </c>
      <c r="V13">
        <v>14</v>
      </c>
      <c r="W13" t="s">
        <v>441</v>
      </c>
    </row>
    <row r="14" spans="1:23" x14ac:dyDescent="0.35">
      <c r="A14" t="str">
        <f>SUMMARY!$B$21</f>
        <v>Poquonock River</v>
      </c>
      <c r="B14" s="191">
        <f>SUMMARY!$A$21</f>
        <v>15</v>
      </c>
      <c r="C14" s="189">
        <f>SUMMARY!$AA$21</f>
        <v>4.8677091032423708E-2</v>
      </c>
      <c r="D14" s="189">
        <f>SUMMARY!$AB$21</f>
        <v>2.317119310478253E-2</v>
      </c>
      <c r="E14" s="187">
        <f>SUMMARY!$BG$21</f>
        <v>0</v>
      </c>
      <c r="F14" s="132">
        <f>SUMMARY!$AC$21</f>
        <v>1.5867281448233521</v>
      </c>
      <c r="G14">
        <v>11</v>
      </c>
      <c r="H14" t="str">
        <f>SUMMARY!$B$16</f>
        <v>Mystic R. + Williams C. + Beebe C.</v>
      </c>
      <c r="I14" s="132">
        <f>SUMMARY!$A$16</f>
        <v>10.5</v>
      </c>
      <c r="J14" s="189">
        <f>SUMMARY!$AA$16</f>
        <v>4.1239782922067023E-2</v>
      </c>
      <c r="K14" s="189">
        <f>SUMMARY!$AB$16</f>
        <v>3.1675986529362002E-2</v>
      </c>
      <c r="L14" s="187">
        <f>SUMMARY!$BG$16</f>
        <v>25.306583334893102</v>
      </c>
      <c r="M14" s="132">
        <f>SUMMARY!$AC$16</f>
        <v>2.5603098339308086</v>
      </c>
      <c r="O14" t="str">
        <f>SUMMARY!$B$50</f>
        <v>Island Bay</v>
      </c>
      <c r="P14" s="189">
        <f>SUMMARY!$AA$50</f>
        <v>2.1093943298403531E-3</v>
      </c>
      <c r="U14">
        <v>75</v>
      </c>
      <c r="V14">
        <v>15</v>
      </c>
      <c r="W14" t="s">
        <v>443</v>
      </c>
    </row>
    <row r="15" spans="1:23" x14ac:dyDescent="0.35">
      <c r="A15" t="str">
        <f>SUMMARY!$B$22</f>
        <v>Baker Cove</v>
      </c>
      <c r="B15" s="191">
        <f>SUMMARY!$A$22</f>
        <v>16</v>
      </c>
      <c r="C15" s="189">
        <f>SUMMARY!$AA$22</f>
        <v>8.2004885730255252E-3</v>
      </c>
      <c r="D15" s="189">
        <f>SUMMARY!$AB$22</f>
        <v>1.0684844349827392E-2</v>
      </c>
      <c r="E15" s="187">
        <f>SUMMARY!$BG$22</f>
        <v>0</v>
      </c>
      <c r="F15" s="132">
        <f>SUMMARY!$AC$22</f>
        <v>4.3431738872135996</v>
      </c>
      <c r="G15">
        <v>12</v>
      </c>
      <c r="H15" t="str">
        <f>SUMMARY!$B$14</f>
        <v>Mystic River</v>
      </c>
      <c r="I15" s="132">
        <f>SUMMARY!$A$14</f>
        <v>9</v>
      </c>
      <c r="J15" s="189">
        <f>SUMMARY!$AA$14</f>
        <v>5.5325550689683742E-2</v>
      </c>
      <c r="K15" s="189">
        <f>SUMMARY!$AB$14</f>
        <v>3.90647682964766E-2</v>
      </c>
      <c r="L15" s="187">
        <f>SUMMARY!$BG$14</f>
        <v>30.481005816629974</v>
      </c>
      <c r="M15" s="132">
        <f>SUMMARY!$AC$14</f>
        <v>2.3536303335136854</v>
      </c>
      <c r="O15" t="str">
        <f>SUMMARY!$B$19</f>
        <v>Venetian Harbor</v>
      </c>
      <c r="P15" s="189">
        <f>SUMMARY!$AA$19</f>
        <v>2.523369996848331E-3</v>
      </c>
      <c r="U15">
        <v>55</v>
      </c>
      <c r="V15">
        <v>16</v>
      </c>
      <c r="W15" t="s">
        <v>416</v>
      </c>
    </row>
    <row r="16" spans="1:23" x14ac:dyDescent="0.35">
      <c r="A16" t="str">
        <f>SUMMARY!$B$24</f>
        <v>Alewife Cove</v>
      </c>
      <c r="B16" s="191">
        <f>SUMMARY!$A$24</f>
        <v>18</v>
      </c>
      <c r="C16" s="189">
        <f>SUMMARY!$AA$24</f>
        <v>3.0671574724700446E-2</v>
      </c>
      <c r="D16" s="189">
        <f>SUMMARY!$AB$24</f>
        <v>2.0489856894165007E-2</v>
      </c>
      <c r="E16" s="187">
        <f>SUMMARY!$BG$24</f>
        <v>0</v>
      </c>
      <c r="F16" s="132">
        <f>SUMMARY!$AC$24</f>
        <v>2.2268019687149296</v>
      </c>
      <c r="G16">
        <v>13</v>
      </c>
      <c r="H16" t="str">
        <f>SUMMARY!$B$61</f>
        <v>Bridgeport Harbor</v>
      </c>
      <c r="I16" s="132">
        <f>SUMMARY!$A$61</f>
        <v>54</v>
      </c>
      <c r="J16" s="189">
        <f>SUMMARY!$AA$61</f>
        <v>3.4618786413861104E-2</v>
      </c>
      <c r="K16" s="189">
        <f>SUMMARY!$AB$61</f>
        <v>3.3864120966680004E-2</v>
      </c>
      <c r="L16" s="187">
        <f>SUMMARY!$BG$61</f>
        <v>30.797167159745996</v>
      </c>
      <c r="M16" s="132">
        <f>SUMMARY!$AC$61</f>
        <v>3.2606689868559409</v>
      </c>
      <c r="O16" t="str">
        <f>SUMMARY!$B$51</f>
        <v>Little Harbor</v>
      </c>
      <c r="P16" s="189">
        <f>SUMMARY!$AA$51</f>
        <v>2.7094157507023607E-3</v>
      </c>
      <c r="U16">
        <v>48</v>
      </c>
      <c r="V16">
        <v>18</v>
      </c>
      <c r="W16" t="s">
        <v>444</v>
      </c>
    </row>
    <row r="17" spans="1:23" x14ac:dyDescent="0.35">
      <c r="A17" t="str">
        <f>SUMMARY!$B$25</f>
        <v>Goshen Cove</v>
      </c>
      <c r="B17" s="191">
        <f>SUMMARY!$A$25</f>
        <v>19</v>
      </c>
      <c r="C17" s="189">
        <f>SUMMARY!$AA$25</f>
        <v>3.2349089458134694E-2</v>
      </c>
      <c r="D17" s="189">
        <f>SUMMARY!$AB$25</f>
        <v>2.8893023951280027E-2</v>
      </c>
      <c r="E17" s="187">
        <f>SUMMARY!$BG$25</f>
        <v>0</v>
      </c>
      <c r="F17" s="132">
        <f>SUMMARY!$AC$25</f>
        <v>2.9772114594521111</v>
      </c>
      <c r="G17">
        <v>14</v>
      </c>
      <c r="H17" t="str">
        <f>SUMMARY!$B$63</f>
        <v>Lewis Gut + Bridgeport H. + Pequonnock R.</v>
      </c>
      <c r="I17" s="132">
        <f>SUMMARY!$A$63</f>
        <v>55.5</v>
      </c>
      <c r="J17" s="189">
        <f>SUMMARY!$AA$63</f>
        <v>2.2361878386665982E-2</v>
      </c>
      <c r="K17" s="189">
        <f>SUMMARY!$AB$63</f>
        <v>2.213665321071619E-2</v>
      </c>
      <c r="L17" s="187">
        <f>SUMMARY!$BG$63</f>
        <v>30.797167159745996</v>
      </c>
      <c r="M17" s="132">
        <f>SUMMARY!$AC$63</f>
        <v>3.2997605460424873</v>
      </c>
      <c r="O17" t="str">
        <f>SUMMARY!$B$49</f>
        <v>Joshua Cove</v>
      </c>
      <c r="P17" s="189">
        <f>SUMMARY!$AA$49</f>
        <v>2.7167536870131162E-3</v>
      </c>
      <c r="U17">
        <v>66</v>
      </c>
      <c r="V17">
        <v>19</v>
      </c>
      <c r="W17" t="s">
        <v>442</v>
      </c>
    </row>
    <row r="18" spans="1:23" x14ac:dyDescent="0.35">
      <c r="A18" t="str">
        <f>SUMMARY!$B$26</f>
        <v>Jordan Cove</v>
      </c>
      <c r="B18" s="191">
        <f>SUMMARY!$A$26</f>
        <v>20</v>
      </c>
      <c r="C18" s="189">
        <f>SUMMARY!$AA$26</f>
        <v>5.6196389493230692E-2</v>
      </c>
      <c r="D18" s="189">
        <f>SUMMARY!$AB$26</f>
        <v>2.3801584260608386E-2</v>
      </c>
      <c r="E18" s="187">
        <f>SUMMARY!$BG$26</f>
        <v>0</v>
      </c>
      <c r="F18" s="132">
        <f>SUMMARY!$AC$26</f>
        <v>1.4118098140732855</v>
      </c>
      <c r="G18">
        <v>15</v>
      </c>
      <c r="H18" t="str">
        <f>SUMMARY!$B$52</f>
        <v>Branford Harbor</v>
      </c>
      <c r="I18" s="132">
        <f>SUMMARY!$A$52</f>
        <v>45</v>
      </c>
      <c r="J18" s="189">
        <f>SUMMARY!$AA$52</f>
        <v>1.1844353956276159E-2</v>
      </c>
      <c r="K18" s="189">
        <f>SUMMARY!$AB$52</f>
        <v>1.0585084973320957E-2</v>
      </c>
      <c r="L18" s="187">
        <f>SUMMARY!$BG$52</f>
        <v>41.49635640876361</v>
      </c>
      <c r="M18" s="132">
        <f>SUMMARY!$AC$52</f>
        <v>2.9789397301015494</v>
      </c>
      <c r="O18" t="str">
        <f>SUMMARY!$B$15</f>
        <v>Bebee Cove</v>
      </c>
      <c r="P18" s="189">
        <f>SUMMARY!$AA$15</f>
        <v>3.3243195702892738E-3</v>
      </c>
      <c r="U18">
        <v>56</v>
      </c>
      <c r="V18">
        <v>20</v>
      </c>
      <c r="W18" t="s">
        <v>413</v>
      </c>
    </row>
    <row r="19" spans="1:23" x14ac:dyDescent="0.35">
      <c r="A19" t="str">
        <f>SUMMARY!$B$27</f>
        <v>Gardners Pond</v>
      </c>
      <c r="B19" s="191">
        <f>SUMMARY!$A$27</f>
        <v>21</v>
      </c>
      <c r="C19" s="189">
        <f>SUMMARY!$AA$27</f>
        <v>5.9232055631457175E-3</v>
      </c>
      <c r="D19" s="189">
        <f>SUMMARY!$AB$27</f>
        <v>3.3177448134407328E-3</v>
      </c>
      <c r="E19" s="187">
        <f>SUMMARY!$BG$27</f>
        <v>0</v>
      </c>
      <c r="F19" s="132">
        <f>SUMMARY!$AC$27</f>
        <v>1.8670885655135769</v>
      </c>
      <c r="G19">
        <v>16</v>
      </c>
      <c r="H19" t="str">
        <f>SUMMARY!$B$86</f>
        <v>Stamford Harbor</v>
      </c>
      <c r="I19" s="132">
        <f>SUMMARY!$A$86</f>
        <v>75</v>
      </c>
      <c r="J19" s="189">
        <f>SUMMARY!$AA$86</f>
        <v>9.4696666516562202E-3</v>
      </c>
      <c r="K19" s="189">
        <f>SUMMARY!$AB$86</f>
        <v>1.7903025482902277E-2</v>
      </c>
      <c r="L19" s="187">
        <f>SUMMARY!$BG$86</f>
        <v>49.931909438436357</v>
      </c>
      <c r="M19" s="132">
        <f>SUMMARY!$AC$86</f>
        <v>6.3018851460032064</v>
      </c>
      <c r="O19" t="str">
        <f>SUMMARY!$B$60</f>
        <v>Lewis Gut</v>
      </c>
      <c r="P19" s="189">
        <f>SUMMARY!$AA$60</f>
        <v>3.4868854102755634E-3</v>
      </c>
      <c r="V19">
        <v>21</v>
      </c>
      <c r="W19" t="s">
        <v>409</v>
      </c>
    </row>
    <row r="20" spans="1:23" x14ac:dyDescent="0.35">
      <c r="A20" t="str">
        <f>SUMMARY!$B$28</f>
        <v>Niantic River</v>
      </c>
      <c r="B20" s="191">
        <f>SUMMARY!$A$28</f>
        <v>22</v>
      </c>
      <c r="C20" s="189">
        <f>SUMMARY!$AA$28</f>
        <v>2.0997191524481994E-2</v>
      </c>
      <c r="D20" s="189">
        <f>SUMMARY!$AB$28</f>
        <v>8.072955975451504E-3</v>
      </c>
      <c r="E20" s="187">
        <f>SUMMARY!$BG$28</f>
        <v>0</v>
      </c>
      <c r="F20" s="132">
        <f>SUMMARY!$AC$28</f>
        <v>1.2815929797148853</v>
      </c>
      <c r="G20">
        <v>17</v>
      </c>
      <c r="H20" t="str">
        <f>SUMMARY!$B$62</f>
        <v>Pequonnock River</v>
      </c>
      <c r="I20" s="132">
        <f>SUMMARY!$A$62</f>
        <v>55</v>
      </c>
      <c r="J20" s="189">
        <f>SUMMARY!$AA$62</f>
        <v>0.17270118473732457</v>
      </c>
      <c r="K20" s="189">
        <f>SUMMARY!$AB$62</f>
        <v>0.20982070641358816</v>
      </c>
      <c r="L20" s="187">
        <f>SUMMARY!$BG$62</f>
        <v>52.131167274356841</v>
      </c>
      <c r="M20" s="132">
        <f>SUMMARY!$AC$62</f>
        <v>4.0497831892452796</v>
      </c>
      <c r="O20" t="str">
        <f>SUMMARY!$B$47</f>
        <v>Indian Cove</v>
      </c>
      <c r="P20" s="189">
        <f>SUMMARY!$AA$47</f>
        <v>3.7027760267787833E-3</v>
      </c>
      <c r="V20">
        <v>22</v>
      </c>
      <c r="W20" t="s">
        <v>450</v>
      </c>
    </row>
    <row r="21" spans="1:23" x14ac:dyDescent="0.35">
      <c r="A21" t="str">
        <f>SUMMARY!$B$30</f>
        <v>Niantic River + Niantic Bay</v>
      </c>
      <c r="B21" s="191">
        <f>SUMMARY!$A$30</f>
        <v>23.5</v>
      </c>
      <c r="C21" s="189">
        <f>SUMMARY!$AA$30</f>
        <v>6.2996448057065597E-3</v>
      </c>
      <c r="D21" s="189">
        <f>SUMMARY!$AB$30</f>
        <v>3.3972818731812333E-3</v>
      </c>
      <c r="E21" s="187">
        <f>SUMMARY!$BG$30</f>
        <v>0</v>
      </c>
      <c r="F21" s="132">
        <f>SUMMARY!$AC$30</f>
        <v>1.7976049856566469</v>
      </c>
      <c r="G21">
        <v>18</v>
      </c>
      <c r="H21" t="str">
        <f>SUMMARY!$B$55</f>
        <v>New Haven Harbor</v>
      </c>
      <c r="I21" s="132">
        <f>SUMMARY!$A$55</f>
        <v>48</v>
      </c>
      <c r="J21" s="189">
        <f>SUMMARY!$AA$55</f>
        <v>8.4835645998468032E-3</v>
      </c>
      <c r="K21" s="189">
        <f>SUMMARY!$AB$55</f>
        <v>1.746091868841209E-2</v>
      </c>
      <c r="L21" s="187">
        <f>SUMMARY!$BG$55</f>
        <v>66.664944080765551</v>
      </c>
      <c r="M21" s="132">
        <f>SUMMARY!$AC$55</f>
        <v>6.8606847522276189</v>
      </c>
      <c r="O21" t="str">
        <f>SUMMARY!$B$92</f>
        <v>Captain Harbor</v>
      </c>
      <c r="P21" s="189">
        <f>SUMMARY!$AA$92</f>
        <v>3.7855331523961966E-3</v>
      </c>
      <c r="V21">
        <v>23</v>
      </c>
      <c r="W21" t="s">
        <v>440</v>
      </c>
    </row>
    <row r="22" spans="1:23" x14ac:dyDescent="0.35">
      <c r="A22" t="str">
        <f>SUMMARY!$B$29</f>
        <v>Niantic Bay</v>
      </c>
      <c r="B22" s="191">
        <f>SUMMARY!$A$29</f>
        <v>23</v>
      </c>
      <c r="C22" s="189">
        <f>SUMMARY!$AA$29</f>
        <v>8.7825616458031761E-3</v>
      </c>
      <c r="D22" s="189">
        <f>SUMMARY!$AB$29</f>
        <v>4.7246155902054728E-3</v>
      </c>
      <c r="E22" s="187">
        <f>SUMMARY!$BG$29</f>
        <v>0</v>
      </c>
      <c r="F22" s="132">
        <f>SUMMARY!$AC$29</f>
        <v>1.793180539933233</v>
      </c>
      <c r="G22">
        <v>19</v>
      </c>
      <c r="H22" t="str">
        <f>SUMMARY!$B$75</f>
        <v>Norwalk Harbor</v>
      </c>
      <c r="I22" s="132">
        <f>SUMMARY!$A$75</f>
        <v>66</v>
      </c>
      <c r="J22" s="189">
        <f>SUMMARY!$AA$75</f>
        <v>8.5798719259166933E-3</v>
      </c>
      <c r="K22" s="189">
        <f>SUMMARY!$AB$75</f>
        <v>1.522671604942403E-2</v>
      </c>
      <c r="L22" s="187">
        <f>SUMMARY!$BG$75</f>
        <v>67.423635674285038</v>
      </c>
      <c r="M22" s="132">
        <f>SUMMARY!$AC$75</f>
        <v>5.9156734043351014</v>
      </c>
      <c r="O22" t="str">
        <f>SUMMARY!$B$76</f>
        <v>Sheffield Island Harbor</v>
      </c>
      <c r="P22" s="189">
        <f>SUMMARY!$AA$76</f>
        <v>4.1223428239004697E-3</v>
      </c>
      <c r="V22">
        <v>24</v>
      </c>
      <c r="W22" t="s">
        <v>472</v>
      </c>
    </row>
    <row r="23" spans="1:23" x14ac:dyDescent="0.35">
      <c r="A23" t="str">
        <f>SUMMARY!$B$31</f>
        <v>Pattagansett River</v>
      </c>
      <c r="B23" s="191">
        <f>SUMMARY!$A$31</f>
        <v>24</v>
      </c>
      <c r="C23" s="189">
        <f>SUMMARY!$AA$31</f>
        <v>0.17092831183885301</v>
      </c>
      <c r="D23" s="189">
        <f>SUMMARY!$AB$31</f>
        <v>4.8292191527308528E-2</v>
      </c>
      <c r="E23" s="187">
        <f>SUMMARY!$BG$31</f>
        <v>0</v>
      </c>
      <c r="F23" s="132">
        <f>SUMMARY!$AC$31</f>
        <v>0.94176307029497475</v>
      </c>
      <c r="G23">
        <v>20</v>
      </c>
      <c r="H23" t="str">
        <f>SUMMARY!$B$64</f>
        <v>Black Rock Harbor</v>
      </c>
      <c r="I23" s="132">
        <f>SUMMARY!$A$64</f>
        <v>56</v>
      </c>
      <c r="J23" s="189">
        <f>SUMMARY!$AA$64</f>
        <v>1.9248488548890734E-3</v>
      </c>
      <c r="K23" s="189">
        <f>SUMMARY!$AB$64</f>
        <v>0.15155876647087344</v>
      </c>
      <c r="L23" s="187">
        <f>SUMMARY!$BG$64</f>
        <v>98.513110665675569</v>
      </c>
      <c r="M23" s="132">
        <f>SUMMARY!$AC$64</f>
        <v>262.46003001901079</v>
      </c>
      <c r="O23" t="str">
        <f>SUMMARY!$B$10</f>
        <v>Quanaduck C. + Stonington H.</v>
      </c>
      <c r="P23" s="189">
        <f>SUMMARY!$AA$10</f>
        <v>4.1633180272137513E-3</v>
      </c>
      <c r="V23">
        <v>25</v>
      </c>
      <c r="W23" t="s">
        <v>460</v>
      </c>
    </row>
    <row r="24" spans="1:23" x14ac:dyDescent="0.35">
      <c r="A24" t="str">
        <f>SUMMARY!$B$32</f>
        <v>Bride Brook</v>
      </c>
      <c r="B24" s="191">
        <f>SUMMARY!$A$32</f>
        <v>25</v>
      </c>
      <c r="C24" s="189">
        <f>SUMMARY!$AA$32</f>
        <v>0.13440462942583487</v>
      </c>
      <c r="D24" s="189">
        <f>SUMMARY!$AB$32</f>
        <v>5.2946382137910239E-2</v>
      </c>
      <c r="E24" s="187">
        <f>SUMMARY!$BG$32</f>
        <v>0</v>
      </c>
      <c r="F24" s="132">
        <f>SUMMARY!$AC$32</f>
        <v>1.3131090886797743</v>
      </c>
      <c r="O24" t="str">
        <f>SUMMARY!$B$9</f>
        <v>Stonington Harbor</v>
      </c>
      <c r="P24" s="189">
        <f>SUMMARY!$AA$9</f>
        <v>4.5986523994733051E-3</v>
      </c>
      <c r="V24">
        <v>26</v>
      </c>
      <c r="W24" t="s">
        <v>445</v>
      </c>
    </row>
    <row r="25" spans="1:23" x14ac:dyDescent="0.35">
      <c r="A25" t="str">
        <f>SUMMARY!$B$33</f>
        <v>Four Mile River</v>
      </c>
      <c r="B25" s="191">
        <f>SUMMARY!$A$33</f>
        <v>26</v>
      </c>
      <c r="C25" s="189">
        <f>SUMMARY!$AA$33</f>
        <v>0.22141986238987602</v>
      </c>
      <c r="D25" s="189">
        <f>SUMMARY!$AB$33</f>
        <v>4.9696303213371359E-2</v>
      </c>
      <c r="E25" s="187">
        <f>SUMMARY!$BG$33</f>
        <v>0</v>
      </c>
      <c r="F25" s="132">
        <f>SUMMARY!$AC$33</f>
        <v>0.7481458178891246</v>
      </c>
      <c r="O25" t="str">
        <f>SUMMARY!$B$53</f>
        <v>Pages Cove</v>
      </c>
      <c r="P25" s="189">
        <f>SUMMARY!$AA$53</f>
        <v>4.8646527052969065E-3</v>
      </c>
      <c r="V25">
        <v>27</v>
      </c>
      <c r="W25" t="s">
        <v>411</v>
      </c>
    </row>
    <row r="26" spans="1:23" x14ac:dyDescent="0.35">
      <c r="A26" t="str">
        <f>SUMMARY!$B$34</f>
        <v>Threemile River</v>
      </c>
      <c r="B26" s="191">
        <f>SUMMARY!$A$34</f>
        <v>27</v>
      </c>
      <c r="C26" s="189">
        <f>SUMMARY!$AA$34</f>
        <v>9.4477430939643475E-2</v>
      </c>
      <c r="D26" s="189">
        <f>SUMMARY!$AB$34</f>
        <v>3.5048334760529785E-2</v>
      </c>
      <c r="E26" s="187">
        <f>SUMMARY!$BG$34</f>
        <v>0</v>
      </c>
      <c r="F26" s="132">
        <f>SUMMARY!$AC$34</f>
        <v>1.2365681557295334</v>
      </c>
      <c r="O26" t="str">
        <f>SUMMARY!$B$12</f>
        <v>Wilcox Cove</v>
      </c>
      <c r="P26" s="189">
        <f>SUMMARY!$AA$12</f>
        <v>5.2517172781267512E-3</v>
      </c>
      <c r="V26">
        <v>28</v>
      </c>
      <c r="W26" t="s">
        <v>422</v>
      </c>
    </row>
    <row r="27" spans="1:23" x14ac:dyDescent="0.35">
      <c r="A27" t="str">
        <f>SUMMARY!$B$35</f>
        <v>Black Hall River</v>
      </c>
      <c r="B27" s="191">
        <f>SUMMARY!$A$35</f>
        <v>28</v>
      </c>
      <c r="C27" s="189">
        <f>SUMMARY!$AA$35</f>
        <v>3.2358493863182812E-2</v>
      </c>
      <c r="D27" s="189">
        <f>SUMMARY!$AB$35</f>
        <v>1.6777223701110767E-2</v>
      </c>
      <c r="E27" s="187">
        <f>SUMMARY!$BG$35</f>
        <v>0</v>
      </c>
      <c r="F27" s="132">
        <f>SUMMARY!$AC$35</f>
        <v>1.7282658222647516</v>
      </c>
      <c r="O27" t="str">
        <f>SUMMARY!$B$84</f>
        <v>Holly Pond + Cove Harbor</v>
      </c>
      <c r="P27" s="189">
        <f>SUMMARY!$AA$84</f>
        <v>5.8473533074677245E-3</v>
      </c>
      <c r="V27">
        <v>30</v>
      </c>
      <c r="W27" t="s">
        <v>14</v>
      </c>
    </row>
    <row r="28" spans="1:23" x14ac:dyDescent="0.35">
      <c r="A28" t="str">
        <f>SUMMARY!$B$37</f>
        <v>South Cove</v>
      </c>
      <c r="B28" s="191">
        <f>SUMMARY!$A$37</f>
        <v>30</v>
      </c>
      <c r="C28" s="189">
        <f>SUMMARY!$AA$37</f>
        <v>1.6925190291204961E-3</v>
      </c>
      <c r="D28" s="189">
        <f>SUMMARY!$AB$37</f>
        <v>4.7089134161630063E-3</v>
      </c>
      <c r="E28" s="187">
        <f>SUMMARY!$BG$37</f>
        <v>0</v>
      </c>
      <c r="F28" s="132">
        <f>SUMMARY!$AC$37</f>
        <v>9.2739743446389404</v>
      </c>
      <c r="O28" t="str">
        <f>SUMMARY!$B$27</f>
        <v>Gardners Pond</v>
      </c>
      <c r="P28" s="189">
        <f>SUMMARY!$AA$27</f>
        <v>5.9232055631457175E-3</v>
      </c>
      <c r="V28">
        <v>31</v>
      </c>
      <c r="W28" t="s">
        <v>418</v>
      </c>
    </row>
    <row r="29" spans="1:23" x14ac:dyDescent="0.35">
      <c r="A29" t="str">
        <f>SUMMARY!$B$38</f>
        <v>Indiantown Harbor</v>
      </c>
      <c r="B29" s="191">
        <f>SUMMARY!$A$38</f>
        <v>31</v>
      </c>
      <c r="C29" s="189">
        <f>SUMMARY!$AA$38</f>
        <v>1.6848940891859891E-2</v>
      </c>
      <c r="D29" s="189">
        <f>SUMMARY!$AB$38</f>
        <v>2.9488566753666869E-2</v>
      </c>
      <c r="E29" s="187">
        <f>SUMMARY!$BG$38</f>
        <v>0</v>
      </c>
      <c r="F29" s="132">
        <f>SUMMARY!$AC$38</f>
        <v>5.8339110537037708</v>
      </c>
      <c r="O29" t="str">
        <f>SUMMARY!$B$30</f>
        <v>Niantic River + Niantic Bay</v>
      </c>
      <c r="P29" s="189">
        <f>SUMMARY!$AA$30</f>
        <v>6.2996448057065597E-3</v>
      </c>
      <c r="V29">
        <v>32</v>
      </c>
      <c r="W29" t="s">
        <v>218</v>
      </c>
    </row>
    <row r="30" spans="1:23" x14ac:dyDescent="0.35">
      <c r="A30" t="str">
        <f>SUMMARY!$B$39</f>
        <v>Oyster River, Old Saybrook</v>
      </c>
      <c r="B30" s="191">
        <f>SUMMARY!$A$39</f>
        <v>32</v>
      </c>
      <c r="C30" s="189">
        <f>SUMMARY!$AA$39</f>
        <v>0.12529495423094977</v>
      </c>
      <c r="D30" s="189">
        <f>SUMMARY!$AB$39</f>
        <v>6.2503571218697082E-2</v>
      </c>
      <c r="E30" s="187">
        <f>SUMMARY!$BG$39</f>
        <v>0</v>
      </c>
      <c r="F30" s="132">
        <f>SUMMARY!$AC$39</f>
        <v>1.6628382098422323</v>
      </c>
      <c r="O30" t="str">
        <f>SUMMARY!$B$20</f>
        <v>Mumford Cove</v>
      </c>
      <c r="P30" s="189">
        <f>SUMMARY!$AA$20</f>
        <v>6.9979621025089058E-3</v>
      </c>
      <c r="V30">
        <v>33</v>
      </c>
      <c r="W30" t="s">
        <v>242</v>
      </c>
    </row>
    <row r="31" spans="1:23" x14ac:dyDescent="0.35">
      <c r="A31" t="str">
        <f>SUMMARY!$B$40</f>
        <v>Hagar Creek</v>
      </c>
      <c r="B31" s="191">
        <f>SUMMARY!$A$40</f>
        <v>33</v>
      </c>
      <c r="C31" s="189">
        <f>SUMMARY!$AA$40</f>
        <v>4.9530037139422368E-2</v>
      </c>
      <c r="D31" s="189">
        <f>SUMMARY!$AB$40</f>
        <v>6.4242119403278855E-2</v>
      </c>
      <c r="E31" s="187">
        <f>SUMMARY!$BG$40</f>
        <v>0</v>
      </c>
      <c r="F31" s="132">
        <f>SUMMARY!$AC$40</f>
        <v>4.3234451330642969</v>
      </c>
      <c r="O31" t="str">
        <f>SUMMARY!$B$22</f>
        <v>Baker Cove</v>
      </c>
      <c r="P31" s="189">
        <f>SUMMARY!$AA$22</f>
        <v>8.2004885730255252E-3</v>
      </c>
      <c r="V31">
        <v>34</v>
      </c>
      <c r="W31" t="s">
        <v>424</v>
      </c>
    </row>
    <row r="32" spans="1:23" x14ac:dyDescent="0.35">
      <c r="A32" t="str">
        <f>SUMMARY!$B$41</f>
        <v>Patchogue River</v>
      </c>
      <c r="B32" s="191">
        <f>SUMMARY!$A$41</f>
        <v>34</v>
      </c>
      <c r="C32" s="189">
        <f>SUMMARY!$AA$41</f>
        <v>7.7499942664106258E-2</v>
      </c>
      <c r="D32" s="189">
        <f>SUMMARY!$AB$41</f>
        <v>3.4826726792489597E-2</v>
      </c>
      <c r="E32" s="187">
        <f>SUMMARY!$BG$41</f>
        <v>0</v>
      </c>
      <c r="F32" s="132">
        <f>SUMMARY!$AC$41</f>
        <v>1.4979248412020412</v>
      </c>
      <c r="O32" t="str">
        <f>SUMMARY!$B$55</f>
        <v>New Haven Harbor</v>
      </c>
      <c r="P32" s="189">
        <f>SUMMARY!$AA$55</f>
        <v>8.4835645998468032E-3</v>
      </c>
      <c r="V32">
        <v>35</v>
      </c>
      <c r="W32" t="s">
        <v>465</v>
      </c>
    </row>
    <row r="33" spans="1:23" x14ac:dyDescent="0.35">
      <c r="A33" t="str">
        <f>SUMMARY!$B$42</f>
        <v>Menunkesucket River</v>
      </c>
      <c r="B33" s="191">
        <f>SUMMARY!$A$42</f>
        <v>35</v>
      </c>
      <c r="C33" s="189">
        <f>SUMMARY!$AA$42</f>
        <v>0.11229171453592685</v>
      </c>
      <c r="D33" s="189">
        <f>SUMMARY!$AB$42</f>
        <v>3.6285959231613561E-2</v>
      </c>
      <c r="E33" s="187">
        <f>SUMMARY!$BG$42</f>
        <v>0</v>
      </c>
      <c r="F33" s="132">
        <f>SUMMARY!$AC$42</f>
        <v>1.0771337666236618</v>
      </c>
      <c r="O33" t="str">
        <f>SUMMARY!$B$75</f>
        <v>Norwalk Harbor</v>
      </c>
      <c r="P33" s="189">
        <f>SUMMARY!$AA$75</f>
        <v>8.5798719259166933E-3</v>
      </c>
      <c r="V33">
        <v>36</v>
      </c>
      <c r="W33" t="s">
        <v>248</v>
      </c>
    </row>
    <row r="34" spans="1:23" x14ac:dyDescent="0.35">
      <c r="A34" t="str">
        <f>SUMMARY!$B$43</f>
        <v>Clinton Harbor</v>
      </c>
      <c r="B34" s="191">
        <f>SUMMARY!$A$43</f>
        <v>36</v>
      </c>
      <c r="C34" s="189">
        <f>SUMMARY!$AA$43</f>
        <v>2.7376966440314426E-2</v>
      </c>
      <c r="D34" s="189">
        <f>SUMMARY!$AB$43</f>
        <v>1.3750194186076824E-2</v>
      </c>
      <c r="E34" s="187">
        <f>SUMMARY!$BG$43</f>
        <v>0</v>
      </c>
      <c r="F34" s="132">
        <f>SUMMARY!$AC$43</f>
        <v>1.6741803997963216</v>
      </c>
      <c r="O34" t="str">
        <f>SUMMARY!$B$29</f>
        <v>Niantic Bay</v>
      </c>
      <c r="P34" s="189">
        <f>SUMMARY!$AA$29</f>
        <v>8.7825616458031761E-3</v>
      </c>
      <c r="V34">
        <v>37</v>
      </c>
      <c r="W34" t="s">
        <v>449</v>
      </c>
    </row>
    <row r="35" spans="1:23" x14ac:dyDescent="0.35">
      <c r="A35" t="str">
        <f>SUMMARY!$B$44</f>
        <v>Toms Creek</v>
      </c>
      <c r="B35" s="191">
        <f>SUMMARY!$A$44</f>
        <v>37</v>
      </c>
      <c r="C35" s="189">
        <f>SUMMARY!$AA$44</f>
        <v>0.12410487237907457</v>
      </c>
      <c r="D35" s="189">
        <f>SUMMARY!$AB$44</f>
        <v>0.12760374714398867</v>
      </c>
      <c r="E35" s="187">
        <f>SUMMARY!$BG$44</f>
        <v>0</v>
      </c>
      <c r="F35" s="132">
        <f>SUMMARY!$AC$44</f>
        <v>3.427309626604262</v>
      </c>
      <c r="O35" t="str">
        <f>SUMMARY!$B$83</f>
        <v>Cove Harbor</v>
      </c>
      <c r="P35" s="189">
        <f>SUMMARY!$AA$83</f>
        <v>9.4493467027838389E-3</v>
      </c>
      <c r="V35">
        <v>38</v>
      </c>
      <c r="W35" t="s">
        <v>471</v>
      </c>
    </row>
    <row r="36" spans="1:23" x14ac:dyDescent="0.35">
      <c r="A36" t="str">
        <f>SUMMARY!$B$45</f>
        <v>Fence Creek</v>
      </c>
      <c r="B36" s="191">
        <f>SUMMARY!$A$45</f>
        <v>38</v>
      </c>
      <c r="C36" s="189">
        <f>SUMMARY!$AA$45</f>
        <v>0.11867433381214364</v>
      </c>
      <c r="D36" s="189">
        <f>SUMMARY!$AB$45</f>
        <v>0.12228283306083605</v>
      </c>
      <c r="E36" s="187">
        <f>SUMMARY!$BG$45</f>
        <v>0</v>
      </c>
      <c r="F36" s="132">
        <f>SUMMARY!$AC$45</f>
        <v>3.4346891231034711</v>
      </c>
      <c r="O36" t="str">
        <f>SUMMARY!$B$86</f>
        <v>Stamford Harbor</v>
      </c>
      <c r="P36" s="189">
        <f>SUMMARY!$AA$86</f>
        <v>9.4696666516562202E-3</v>
      </c>
      <c r="V36">
        <v>39</v>
      </c>
      <c r="W36" t="s">
        <v>408</v>
      </c>
    </row>
    <row r="37" spans="1:23" x14ac:dyDescent="0.35">
      <c r="A37" t="str">
        <f>SUMMARY!$B$46</f>
        <v>Guilford Harbor</v>
      </c>
      <c r="B37" s="191">
        <f>SUMMARY!$A$46</f>
        <v>39</v>
      </c>
      <c r="C37" s="189">
        <f>SUMMARY!$AA$46</f>
        <v>3.8314047771024387E-2</v>
      </c>
      <c r="D37" s="189">
        <f>SUMMARY!$AB$46</f>
        <v>2.1794973140957498E-2</v>
      </c>
      <c r="E37" s="187">
        <f>SUMMARY!$BG$46</f>
        <v>0</v>
      </c>
      <c r="F37" s="132">
        <f>SUMMARY!$AC$46</f>
        <v>1.8961690214522566</v>
      </c>
      <c r="O37" t="str">
        <f>SUMMARY!$B$71</f>
        <v>Sherwood Millpond + Compo Cove</v>
      </c>
      <c r="P37" s="189">
        <f>SUMMARY!$AA$71</f>
        <v>9.4954091533507451E-3</v>
      </c>
      <c r="V37">
        <v>40</v>
      </c>
      <c r="W37" t="s">
        <v>463</v>
      </c>
    </row>
    <row r="38" spans="1:23" x14ac:dyDescent="0.35">
      <c r="A38" t="str">
        <f>SUMMARY!$B$47</f>
        <v>Indian Cove</v>
      </c>
      <c r="B38" s="191">
        <f>SUMMARY!$A$47</f>
        <v>40</v>
      </c>
      <c r="C38" s="189">
        <f>SUMMARY!$AA$47</f>
        <v>3.7027760267787833E-3</v>
      </c>
      <c r="D38" s="189">
        <f>SUMMARY!$AB$47</f>
        <v>4.8933783785321565E-3</v>
      </c>
      <c r="E38" s="187">
        <f>SUMMARY!$BG$47</f>
        <v>0</v>
      </c>
      <c r="F38" s="132">
        <f>SUMMARY!$AC$47</f>
        <v>4.4051439092749494</v>
      </c>
      <c r="O38" t="str">
        <f>SUMMARY!$B$58</f>
        <v>Milford Harbor</v>
      </c>
      <c r="P38" s="189">
        <f>SUMMARY!$AA$58</f>
        <v>9.8118637013284056E-3</v>
      </c>
      <c r="V38">
        <v>41</v>
      </c>
      <c r="W38" t="s">
        <v>204</v>
      </c>
    </row>
    <row r="39" spans="1:23" x14ac:dyDescent="0.35">
      <c r="A39" t="str">
        <f>SUMMARY!$B$48</f>
        <v>Sachem Head Harbor</v>
      </c>
      <c r="B39" s="191">
        <f>SUMMARY!$A$48</f>
        <v>41</v>
      </c>
      <c r="C39" s="189">
        <f>SUMMARY!$AA$48</f>
        <v>2.0638419567957822E-3</v>
      </c>
      <c r="D39" s="189">
        <f>SUMMARY!$AB$48</f>
        <v>3.9770724257570207E-3</v>
      </c>
      <c r="E39" s="187">
        <f>SUMMARY!$BG$48</f>
        <v>0</v>
      </c>
      <c r="F39" s="132">
        <f>SUMMARY!$AC$48</f>
        <v>6.4234124334010287</v>
      </c>
      <c r="O39" t="str">
        <f>SUMMARY!$B$81</f>
        <v>Gorham Pond + Darien River</v>
      </c>
      <c r="P39" s="189">
        <f>SUMMARY!$AA$81</f>
        <v>1.0061258651843631E-2</v>
      </c>
      <c r="V39">
        <v>42</v>
      </c>
      <c r="W39" t="s">
        <v>457</v>
      </c>
    </row>
    <row r="40" spans="1:23" x14ac:dyDescent="0.35">
      <c r="A40" t="str">
        <f>SUMMARY!$B$49</f>
        <v>Joshua Cove</v>
      </c>
      <c r="B40" s="191">
        <f>SUMMARY!$A$49</f>
        <v>42</v>
      </c>
      <c r="C40" s="189">
        <f>SUMMARY!$AA$49</f>
        <v>2.7167536870131162E-3</v>
      </c>
      <c r="D40" s="189">
        <f>SUMMARY!$AB$49</f>
        <v>1.7820365522729471E-3</v>
      </c>
      <c r="E40" s="187">
        <f>SUMMARY!$BG$49</f>
        <v>0</v>
      </c>
      <c r="F40" s="132">
        <f>SUMMARY!$AC$49</f>
        <v>2.186477879575671</v>
      </c>
      <c r="O40" t="str">
        <f>SUMMARY!$B$91</f>
        <v>Greenwich Harbor</v>
      </c>
      <c r="P40" s="189">
        <f>SUMMARY!$AA$91</f>
        <v>1.0548413067278011E-2</v>
      </c>
      <c r="V40">
        <v>43</v>
      </c>
      <c r="W40" t="s">
        <v>464</v>
      </c>
    </row>
    <row r="41" spans="1:23" x14ac:dyDescent="0.35">
      <c r="A41" t="str">
        <f>SUMMARY!$B$50</f>
        <v>Island Bay</v>
      </c>
      <c r="B41" s="191">
        <f>SUMMARY!$A$50</f>
        <v>43</v>
      </c>
      <c r="C41" s="189">
        <f>SUMMARY!$AA$50</f>
        <v>2.1093943298403531E-3</v>
      </c>
      <c r="D41" s="189">
        <f>SUMMARY!$AB$50</f>
        <v>2.2658608756560266E-3</v>
      </c>
      <c r="E41" s="187">
        <f>SUMMARY!$BG$50</f>
        <v>0</v>
      </c>
      <c r="F41" s="132">
        <f>SUMMARY!$AC$50</f>
        <v>3.5805868436612887</v>
      </c>
      <c r="O41" t="str">
        <f>SUMMARY!$B$8</f>
        <v>Quanaduck Cove</v>
      </c>
      <c r="P41" s="189">
        <f>SUMMARY!$AA$8</f>
        <v>1.1019455342967017E-2</v>
      </c>
      <c r="V41">
        <v>44</v>
      </c>
      <c r="W41" t="s">
        <v>415</v>
      </c>
    </row>
    <row r="42" spans="1:23" x14ac:dyDescent="0.35">
      <c r="A42" t="str">
        <f>SUMMARY!$B$51</f>
        <v>Little Harbor</v>
      </c>
      <c r="B42" s="191">
        <f>SUMMARY!$A$51</f>
        <v>44</v>
      </c>
      <c r="C42" s="189">
        <f>SUMMARY!$AA$51</f>
        <v>2.7094157507023607E-3</v>
      </c>
      <c r="D42" s="189">
        <f>SUMMARY!$AB$51</f>
        <v>2.3941788439000326E-3</v>
      </c>
      <c r="E42" s="187">
        <f>SUMMARY!$BG$51</f>
        <v>0</v>
      </c>
      <c r="F42" s="132">
        <f>SUMMARY!$AC$51</f>
        <v>2.9455044484275383</v>
      </c>
      <c r="O42" t="str">
        <f>SUMMARY!$B$80</f>
        <v>Darien River</v>
      </c>
      <c r="P42" s="189">
        <f>SUMMARY!$AA$80</f>
        <v>1.1728822997330449E-2</v>
      </c>
      <c r="V42">
        <v>46</v>
      </c>
      <c r="W42" t="s">
        <v>431</v>
      </c>
    </row>
    <row r="43" spans="1:23" x14ac:dyDescent="0.35">
      <c r="A43" t="str">
        <f>SUMMARY!$B$53</f>
        <v>Pages Cove</v>
      </c>
      <c r="B43" s="191">
        <f>SUMMARY!$A$53</f>
        <v>46</v>
      </c>
      <c r="C43" s="189">
        <f>SUMMARY!$AA$53</f>
        <v>4.8646527052969065E-3</v>
      </c>
      <c r="D43" s="189">
        <f>SUMMARY!$AB$53</f>
        <v>4.1078294477438337E-3</v>
      </c>
      <c r="E43" s="187">
        <f>SUMMARY!$BG$53</f>
        <v>0</v>
      </c>
      <c r="F43" s="132">
        <f>SUMMARY!$AC$53</f>
        <v>2.8147466335887308</v>
      </c>
      <c r="O43" t="str">
        <f>SUMMARY!$B$52</f>
        <v>Branford Harbor</v>
      </c>
      <c r="P43" s="189">
        <f>SUMMARY!$AA$52</f>
        <v>1.1844353956276159E-2</v>
      </c>
      <c r="V43">
        <v>47</v>
      </c>
      <c r="W43" t="s">
        <v>468</v>
      </c>
    </row>
    <row r="44" spans="1:23" x14ac:dyDescent="0.35">
      <c r="A44" t="str">
        <f>SUMMARY!$B$54</f>
        <v>Farm River</v>
      </c>
      <c r="B44" s="191">
        <f>SUMMARY!$A$54</f>
        <v>47</v>
      </c>
      <c r="C44" s="189">
        <f>SUMMARY!$AA$54</f>
        <v>7.1905581919366565E-2</v>
      </c>
      <c r="D44" s="189">
        <f>SUMMARY!$AB$54</f>
        <v>5.2373768747666728E-2</v>
      </c>
      <c r="E44" s="187">
        <f>SUMMARY!$BG$54</f>
        <v>0</v>
      </c>
      <c r="F44" s="132">
        <f>SUMMARY!$AC$54</f>
        <v>2.4278953663800209</v>
      </c>
      <c r="O44" t="str">
        <f>SUMMARY!$B$69</f>
        <v>Sherwood Millpond</v>
      </c>
      <c r="P44" s="189">
        <f>SUMMARY!$AA$69</f>
        <v>1.3521017077364314E-2</v>
      </c>
      <c r="V44">
        <v>49</v>
      </c>
      <c r="W44" t="s">
        <v>423</v>
      </c>
    </row>
    <row r="45" spans="1:23" x14ac:dyDescent="0.35">
      <c r="A45" t="str">
        <f>SUMMARY!$B$56</f>
        <v>Oyster River, Milford</v>
      </c>
      <c r="B45" s="191">
        <f>SUMMARY!$A$56</f>
        <v>49</v>
      </c>
      <c r="C45" s="189">
        <f>SUMMARY!$AA$56</f>
        <v>0.13895734859353284</v>
      </c>
      <c r="D45" s="189">
        <f>SUMMARY!$AB$56</f>
        <v>0.16375193226005982</v>
      </c>
      <c r="E45" s="187">
        <f>SUMMARY!$BG$56</f>
        <v>0</v>
      </c>
      <c r="F45" s="132">
        <f>SUMMARY!$AC$56</f>
        <v>3.9281101699547194</v>
      </c>
      <c r="O45" t="str">
        <f>SUMMARY!$B$82</f>
        <v>Holly Pond</v>
      </c>
      <c r="P45" s="189">
        <f>SUMMARY!$AA$82</f>
        <v>1.455626997182698E-2</v>
      </c>
      <c r="V45">
        <v>50</v>
      </c>
      <c r="W45" t="s">
        <v>454</v>
      </c>
    </row>
    <row r="46" spans="1:23" x14ac:dyDescent="0.35">
      <c r="A46" t="str">
        <f>SUMMARY!$B$57</f>
        <v>Calf Pen Meadow Creek</v>
      </c>
      <c r="B46" s="191">
        <f>SUMMARY!$A$57</f>
        <v>50</v>
      </c>
      <c r="C46" s="189">
        <f>SUMMARY!$AA$57</f>
        <v>0.10554136375693048</v>
      </c>
      <c r="D46" s="189">
        <f>SUMMARY!$AB$57</f>
        <v>0.10385618026595911</v>
      </c>
      <c r="E46" s="187">
        <f>SUMMARY!$BG$57</f>
        <v>0</v>
      </c>
      <c r="F46" s="132">
        <f>SUMMARY!$AC$57</f>
        <v>3.2801098567429143</v>
      </c>
      <c r="O46" t="str">
        <f>SUMMARY!$B$18</f>
        <v>Palmer Cove</v>
      </c>
      <c r="P46" s="189">
        <f>SUMMARY!$AA$18</f>
        <v>1.6131154063704026E-2</v>
      </c>
      <c r="V46">
        <v>51</v>
      </c>
      <c r="W46" t="s">
        <v>436</v>
      </c>
    </row>
    <row r="47" spans="1:23" x14ac:dyDescent="0.35">
      <c r="A47" t="str">
        <f>SUMMARY!$B$58</f>
        <v>Milford Harbor</v>
      </c>
      <c r="B47" s="191">
        <f>SUMMARY!$A$58</f>
        <v>51</v>
      </c>
      <c r="C47" s="189">
        <f>SUMMARY!$AA$58</f>
        <v>9.8118637013284056E-3</v>
      </c>
      <c r="D47" s="189">
        <f>SUMMARY!$AB$58</f>
        <v>8.9474584945922996E-3</v>
      </c>
      <c r="E47" s="187">
        <f>SUMMARY!$BG$58</f>
        <v>0</v>
      </c>
      <c r="F47" s="132">
        <f>SUMMARY!$AC$58</f>
        <v>3.0396734561858092</v>
      </c>
      <c r="O47" t="str">
        <f>SUMMARY!$B$38</f>
        <v>Indiantown Harbor</v>
      </c>
      <c r="P47" s="189">
        <f>SUMMARY!$AA$38</f>
        <v>1.6848940891859891E-2</v>
      </c>
      <c r="V47">
        <v>53</v>
      </c>
      <c r="W47" t="s">
        <v>246</v>
      </c>
    </row>
    <row r="48" spans="1:23" x14ac:dyDescent="0.35">
      <c r="A48" t="str">
        <f>SUMMARY!$B$60</f>
        <v>Lewis Gut</v>
      </c>
      <c r="B48" s="191">
        <f>SUMMARY!$A$60</f>
        <v>53</v>
      </c>
      <c r="C48" s="189">
        <f>SUMMARY!$AA$60</f>
        <v>3.4868854102755634E-3</v>
      </c>
      <c r="D48" s="189">
        <f>SUMMARY!$AB$60</f>
        <v>2.814994094495574E-3</v>
      </c>
      <c r="E48" s="187">
        <f>SUMMARY!$BG$60</f>
        <v>0</v>
      </c>
      <c r="F48" s="132">
        <f>SUMMARY!$AC$60</f>
        <v>2.6910301154912433</v>
      </c>
      <c r="O48" t="str">
        <f>SUMMARY!$B$88</f>
        <v>Mianus River</v>
      </c>
      <c r="P48" s="189">
        <f>SUMMARY!$AA$88</f>
        <v>1.8520702502343223E-2</v>
      </c>
      <c r="V48">
        <v>57</v>
      </c>
      <c r="W48" t="s">
        <v>453</v>
      </c>
    </row>
    <row r="49" spans="1:23" x14ac:dyDescent="0.35">
      <c r="A49" t="str">
        <f>SUMMARY!$B$65</f>
        <v>Ash Creek</v>
      </c>
      <c r="B49" s="191">
        <f>SUMMARY!$A$65</f>
        <v>57</v>
      </c>
      <c r="C49" s="189">
        <f>SUMMARY!$AA$65</f>
        <v>2.9895581129148738E-2</v>
      </c>
      <c r="D49" s="189">
        <f>SUMMARY!$AB$65</f>
        <v>2.055605180809016E-2</v>
      </c>
      <c r="E49" s="187">
        <f>SUMMARY!$BG$65</f>
        <v>0</v>
      </c>
      <c r="F49" s="132">
        <f>SUMMARY!$AC$65</f>
        <v>2.2919833000612071</v>
      </c>
      <c r="O49" t="str">
        <f>SUMMARY!$B$28</f>
        <v>Niantic River</v>
      </c>
      <c r="P49" s="189">
        <f>SUMMARY!$AA$28</f>
        <v>2.0997191524481994E-2</v>
      </c>
      <c r="V49">
        <v>58</v>
      </c>
      <c r="W49" t="s">
        <v>419</v>
      </c>
    </row>
    <row r="50" spans="1:23" x14ac:dyDescent="0.35">
      <c r="A50" t="str">
        <f>SUMMARY!$B$66</f>
        <v>Pine Creek</v>
      </c>
      <c r="B50" s="191">
        <f>SUMMARY!$A$66</f>
        <v>58</v>
      </c>
      <c r="C50" s="189">
        <f>SUMMARY!$AA$66</f>
        <v>2.1769373278678807E-2</v>
      </c>
      <c r="D50" s="189">
        <f>SUMMARY!$AB$66</f>
        <v>2.076678978827716E-2</v>
      </c>
      <c r="E50" s="187">
        <f>SUMMARY!$BG$66</f>
        <v>0</v>
      </c>
      <c r="F50" s="132">
        <f>SUMMARY!$AC$66</f>
        <v>3.1798174316477925</v>
      </c>
      <c r="O50" t="str">
        <f>SUMMARY!$B$66</f>
        <v>Pine Creek</v>
      </c>
      <c r="P50" s="189">
        <f>SUMMARY!$AA$66</f>
        <v>2.1769373278678807E-2</v>
      </c>
      <c r="V50">
        <v>59</v>
      </c>
      <c r="W50" t="s">
        <v>458</v>
      </c>
    </row>
    <row r="51" spans="1:23" x14ac:dyDescent="0.35">
      <c r="A51" t="str">
        <f>SUMMARY!$B$67</f>
        <v>Mill River</v>
      </c>
      <c r="B51" s="191">
        <f>SUMMARY!$A$67</f>
        <v>59</v>
      </c>
      <c r="C51" s="189">
        <f>SUMMARY!$AA$67</f>
        <v>0.12857339872777321</v>
      </c>
      <c r="D51" s="189">
        <f>SUMMARY!$AB$67</f>
        <v>6.6149969646868964E-2</v>
      </c>
      <c r="E51" s="187">
        <f>SUMMARY!$BG$67</f>
        <v>0</v>
      </c>
      <c r="F51" s="132">
        <f>SUMMARY!$AC$67</f>
        <v>1.7149729337851458</v>
      </c>
      <c r="O51" t="str">
        <f>SUMMARY!$B$63</f>
        <v>Lewis Gut + Bridgeport H. + Pequonnock R.</v>
      </c>
      <c r="P51" s="189">
        <f>SUMMARY!$AA$63</f>
        <v>2.2361878386665982E-2</v>
      </c>
      <c r="V51">
        <v>60</v>
      </c>
      <c r="W51" t="s">
        <v>420</v>
      </c>
    </row>
    <row r="52" spans="1:23" x14ac:dyDescent="0.35">
      <c r="A52" t="str">
        <f>SUMMARY!$B$68</f>
        <v>Sasco Brook</v>
      </c>
      <c r="B52" s="191">
        <f>SUMMARY!$A$68</f>
        <v>60</v>
      </c>
      <c r="C52" s="189">
        <f>SUMMARY!$AA$68</f>
        <v>0.17722209650132434</v>
      </c>
      <c r="D52" s="189">
        <f>SUMMARY!$AB$68</f>
        <v>0.11175036820492083</v>
      </c>
      <c r="E52" s="187">
        <f>SUMMARY!$BG$68</f>
        <v>0</v>
      </c>
      <c r="F52" s="132">
        <f>SUMMARY!$AC$68</f>
        <v>2.101889294301134</v>
      </c>
      <c r="O52" t="str">
        <f>SUMMARY!$B$96</f>
        <v>Byram R. + Kirby P. + Playland L.</v>
      </c>
      <c r="P52" s="189">
        <f>SUMMARY!$AA$96</f>
        <v>2.2560165250729368E-2</v>
      </c>
      <c r="V52">
        <v>61</v>
      </c>
      <c r="W52" t="s">
        <v>429</v>
      </c>
    </row>
    <row r="53" spans="1:23" x14ac:dyDescent="0.35">
      <c r="A53" t="str">
        <f>SUMMARY!$B$69</f>
        <v>Sherwood Millpond</v>
      </c>
      <c r="B53" s="191">
        <f>SUMMARY!$A$69</f>
        <v>61</v>
      </c>
      <c r="C53" s="189">
        <f>SUMMARY!$AA$69</f>
        <v>1.3521017077364314E-2</v>
      </c>
      <c r="D53" s="189">
        <f>SUMMARY!$AB$69</f>
        <v>2.0780756739362968E-2</v>
      </c>
      <c r="E53" s="187">
        <f>SUMMARY!$BG$69</f>
        <v>0</v>
      </c>
      <c r="F53" s="132">
        <f>SUMMARY!$AC$69</f>
        <v>5.1230753378142104</v>
      </c>
      <c r="O53" t="str">
        <f>SUMMARY!$B$43</f>
        <v>Clinton Harbor</v>
      </c>
      <c r="P53" s="189">
        <f>SUMMARY!$AA$43</f>
        <v>2.7376966440314426E-2</v>
      </c>
      <c r="V53">
        <v>62</v>
      </c>
      <c r="W53" t="s">
        <v>235</v>
      </c>
    </row>
    <row r="54" spans="1:23" x14ac:dyDescent="0.35">
      <c r="A54" t="str">
        <f>SUMMARY!$B$71</f>
        <v>Sherwood Millpond + Compo Cove</v>
      </c>
      <c r="B54" s="191">
        <f>SUMMARY!$A$71</f>
        <v>62.5</v>
      </c>
      <c r="C54" s="189">
        <f>SUMMARY!$AA$71</f>
        <v>9.4954091533507451E-3</v>
      </c>
      <c r="D54" s="189">
        <f>SUMMARY!$AB$71</f>
        <v>1.4861190504768784E-2</v>
      </c>
      <c r="E54" s="187">
        <f>SUMMARY!$BG$71</f>
        <v>0</v>
      </c>
      <c r="F54" s="132">
        <f>SUMMARY!$AC$71</f>
        <v>5.2169738957569685</v>
      </c>
      <c r="O54" t="str">
        <f>SUMMARY!$B$77</f>
        <v>Five Mile River</v>
      </c>
      <c r="P54" s="189">
        <f>SUMMARY!$AA$77</f>
        <v>2.871324836202516E-2</v>
      </c>
      <c r="V54">
        <v>65</v>
      </c>
      <c r="W54" t="s">
        <v>451</v>
      </c>
    </row>
    <row r="55" spans="1:23" x14ac:dyDescent="0.35">
      <c r="A55" t="str">
        <f>SUMMARY!$B$70</f>
        <v>Compo Cove</v>
      </c>
      <c r="B55" s="191">
        <f>SUMMARY!$A$70</f>
        <v>62</v>
      </c>
      <c r="C55" s="189">
        <f>SUMMARY!$AA$70</f>
        <v>3.085215320110745E-2</v>
      </c>
      <c r="D55" s="189">
        <f>SUMMARY!$AB$70</f>
        <v>4.728608553443657E-2</v>
      </c>
      <c r="E55" s="187">
        <f>SUMMARY!$BG$70</f>
        <v>0</v>
      </c>
      <c r="F55" s="132">
        <f>SUMMARY!$AC$70</f>
        <v>5.1088909123247426</v>
      </c>
      <c r="O55" t="str">
        <f>SUMMARY!$B$65</f>
        <v>Ash Creek</v>
      </c>
      <c r="P55" s="189">
        <f>SUMMARY!$AA$65</f>
        <v>2.9895581129148738E-2</v>
      </c>
      <c r="V55">
        <v>67</v>
      </c>
      <c r="W55" t="s">
        <v>469</v>
      </c>
    </row>
    <row r="56" spans="1:23" x14ac:dyDescent="0.35">
      <c r="A56" t="str">
        <f>SUMMARY!$B$74</f>
        <v>Cockenoe Harbor</v>
      </c>
      <c r="B56" s="191">
        <f>SUMMARY!$A$74</f>
        <v>65</v>
      </c>
      <c r="C56" s="189">
        <f>SUMMARY!$AA$74</f>
        <v>1.3372603550351686E-3</v>
      </c>
      <c r="D56" s="189">
        <f>SUMMARY!$AB$74</f>
        <v>2.6081529369970796E-3</v>
      </c>
      <c r="E56" s="187">
        <f>SUMMARY!$BG$74</f>
        <v>0</v>
      </c>
      <c r="F56" s="132">
        <f>SUMMARY!$AC$74</f>
        <v>6.5012344758362026</v>
      </c>
      <c r="O56" t="str">
        <f>SUMMARY!$B$70</f>
        <v>Compo Cove</v>
      </c>
      <c r="P56" s="189">
        <f>SUMMARY!$AA$70</f>
        <v>3.085215320110745E-2</v>
      </c>
      <c r="V56">
        <v>70</v>
      </c>
      <c r="W56" t="s">
        <v>439</v>
      </c>
    </row>
    <row r="57" spans="1:23" x14ac:dyDescent="0.35">
      <c r="A57" t="str">
        <f>SUMMARY!$B$76</f>
        <v>Sheffield Island Harbor</v>
      </c>
      <c r="B57" s="191">
        <f>SUMMARY!$A$76</f>
        <v>67</v>
      </c>
      <c r="C57" s="189">
        <f>SUMMARY!$AA$76</f>
        <v>4.1223428239004697E-3</v>
      </c>
      <c r="D57" s="189">
        <f>SUMMARY!$AB$76</f>
        <v>2.7976973188000584E-3</v>
      </c>
      <c r="E57" s="187">
        <f>SUMMARY!$BG$76</f>
        <v>0</v>
      </c>
      <c r="F57" s="132">
        <f>SUMMARY!$AC$76</f>
        <v>2.2622227523789005</v>
      </c>
      <c r="O57" t="str">
        <f>SUMMARY!$B$25</f>
        <v>Goshen Cove</v>
      </c>
      <c r="P57" s="189">
        <f>SUMMARY!$AA$25</f>
        <v>3.2349089458134694E-2</v>
      </c>
      <c r="V57">
        <v>71</v>
      </c>
      <c r="W57" t="s">
        <v>407</v>
      </c>
    </row>
    <row r="58" spans="1:23" x14ac:dyDescent="0.35">
      <c r="A58" t="str">
        <f>SUMMARY!$B$78</f>
        <v>Scotts Cove</v>
      </c>
      <c r="B58" s="191">
        <f>SUMMARY!$A$78</f>
        <v>69</v>
      </c>
      <c r="C58" s="189">
        <f>SUMMARY!$AA$78</f>
        <v>1.598565141505879E-3</v>
      </c>
      <c r="D58" s="189">
        <f>SUMMARY!$AB$78</f>
        <v>2.5176846696488139E-3</v>
      </c>
      <c r="E58" s="187">
        <f>SUMMARY!$BG$78</f>
        <v>0</v>
      </c>
      <c r="F58" s="132">
        <f>SUMMARY!$AC$78</f>
        <v>5.249884420885734</v>
      </c>
      <c r="O58" t="str">
        <f>SUMMARY!$B$35</f>
        <v>Black Hall River</v>
      </c>
      <c r="P58" s="189">
        <f>SUMMARY!$AA$35</f>
        <v>3.2358493863182812E-2</v>
      </c>
      <c r="V58">
        <v>72</v>
      </c>
      <c r="W58" t="s">
        <v>417</v>
      </c>
    </row>
    <row r="59" spans="1:23" x14ac:dyDescent="0.35">
      <c r="A59" t="str">
        <f>SUMMARY!$B$79</f>
        <v>Gorham Pond</v>
      </c>
      <c r="B59" s="191">
        <f>SUMMARY!$A$79</f>
        <v>70</v>
      </c>
      <c r="C59" s="189">
        <f>SUMMARY!$AA$79</f>
        <v>6.2462042922612294E-2</v>
      </c>
      <c r="D59" s="189">
        <f>SUMMARY!$AB$79</f>
        <v>5.3409633441398277E-2</v>
      </c>
      <c r="E59" s="187">
        <f>SUMMARY!$BG$79</f>
        <v>0</v>
      </c>
      <c r="F59" s="132">
        <f>SUMMARY!$AC$79</f>
        <v>2.8502447749251734</v>
      </c>
      <c r="O59" t="str">
        <f>SUMMARY!$B$7</f>
        <v>Little Narragansett B. + Wequetequock C. + Pawcatuck R. (30%)</v>
      </c>
      <c r="P59" s="189">
        <f>SUMMARY!$AA$7</f>
        <v>3.3936614412505846E-2</v>
      </c>
      <c r="V59">
        <v>73</v>
      </c>
      <c r="W59" t="s">
        <v>433</v>
      </c>
    </row>
    <row r="60" spans="1:23" x14ac:dyDescent="0.35">
      <c r="A60" t="str">
        <f>SUMMARY!$B$81</f>
        <v>Gorham Pond + Darien River</v>
      </c>
      <c r="B60" s="191">
        <f>SUMMARY!$A$81</f>
        <v>71.5</v>
      </c>
      <c r="C60" s="189">
        <f>SUMMARY!$AA$81</f>
        <v>1.0061258651843631E-2</v>
      </c>
      <c r="D60" s="189">
        <f>SUMMARY!$AB$81</f>
        <v>1.0138588735341118E-2</v>
      </c>
      <c r="E60" s="187">
        <f>SUMMARY!$BG$81</f>
        <v>0</v>
      </c>
      <c r="F60" s="132">
        <f>SUMMARY!$AC$81</f>
        <v>3.3589530846896305</v>
      </c>
      <c r="O60" t="str">
        <f>SUMMARY!$B$73</f>
        <v>Saugatuck River</v>
      </c>
      <c r="P60" s="189">
        <f>SUMMARY!$AA$73</f>
        <v>3.4256192559547614E-2</v>
      </c>
      <c r="V60">
        <v>74</v>
      </c>
      <c r="W60" t="s">
        <v>183</v>
      </c>
    </row>
    <row r="61" spans="1:23" x14ac:dyDescent="0.35">
      <c r="A61" t="str">
        <f>SUMMARY!$B$80</f>
        <v>Darien River</v>
      </c>
      <c r="B61" s="191">
        <f>SUMMARY!$A$80</f>
        <v>71</v>
      </c>
      <c r="C61" s="189">
        <f>SUMMARY!$AA$80</f>
        <v>1.1728822997330449E-2</v>
      </c>
      <c r="D61" s="189">
        <f>SUMMARY!$AB$80</f>
        <v>1.1799489445552327E-2</v>
      </c>
      <c r="E61" s="187">
        <f>SUMMARY!$BG$80</f>
        <v>0</v>
      </c>
      <c r="F61" s="132">
        <f>SUMMARY!$AC$80</f>
        <v>3.3534167489889262</v>
      </c>
      <c r="O61" t="str">
        <f>SUMMARY!$B$61</f>
        <v>Bridgeport Harbor</v>
      </c>
      <c r="P61" s="189">
        <f>SUMMARY!$AA$61</f>
        <v>3.4618786413861104E-2</v>
      </c>
      <c r="V61">
        <v>76</v>
      </c>
      <c r="W61" t="s">
        <v>421</v>
      </c>
    </row>
    <row r="62" spans="1:23" x14ac:dyDescent="0.35">
      <c r="A62" t="str">
        <f>SUMMARY!$B$82</f>
        <v>Holly Pond</v>
      </c>
      <c r="B62" s="191">
        <f>SUMMARY!$A$82</f>
        <v>72</v>
      </c>
      <c r="C62" s="189">
        <f>SUMMARY!$AA$82</f>
        <v>1.455626997182698E-2</v>
      </c>
      <c r="D62" s="189">
        <f>SUMMARY!$AB$82</f>
        <v>1.219541038337256E-2</v>
      </c>
      <c r="E62" s="187">
        <f>SUMMARY!$BG$82</f>
        <v>0</v>
      </c>
      <c r="F62" s="132">
        <f>SUMMARY!$AC$82</f>
        <v>2.7927050008865</v>
      </c>
      <c r="O62" t="str">
        <f>SUMMARY!$B$89</f>
        <v>Indian Harbor</v>
      </c>
      <c r="P62" s="189">
        <f>SUMMARY!$AA$89</f>
        <v>3.5912460279382566E-2</v>
      </c>
      <c r="V62">
        <v>77</v>
      </c>
      <c r="W62" t="s">
        <v>462</v>
      </c>
    </row>
    <row r="63" spans="1:23" x14ac:dyDescent="0.35">
      <c r="A63" t="str">
        <f>SUMMARY!$B$84</f>
        <v>Holly Pond + Cove Harbor</v>
      </c>
      <c r="B63" s="191">
        <f>SUMMARY!$A$84</f>
        <v>73.5</v>
      </c>
      <c r="C63" s="189">
        <f>SUMMARY!$AA$84</f>
        <v>5.8473533074677245E-3</v>
      </c>
      <c r="D63" s="189">
        <f>SUMMARY!$AB$84</f>
        <v>5.412958889416346E-3</v>
      </c>
      <c r="E63" s="187">
        <f>SUMMARY!$BG$84</f>
        <v>0</v>
      </c>
      <c r="F63" s="132">
        <f>SUMMARY!$AC$84</f>
        <v>3.0857031120406742</v>
      </c>
      <c r="O63" t="str">
        <f>SUMMARY!$B$94</f>
        <v>Kirby Pond, NY</v>
      </c>
      <c r="P63" s="189">
        <f>SUMMARY!$AA$94</f>
        <v>3.816603067603052E-2</v>
      </c>
      <c r="V63">
        <v>78</v>
      </c>
      <c r="W63" t="s">
        <v>410</v>
      </c>
    </row>
    <row r="64" spans="1:23" x14ac:dyDescent="0.35">
      <c r="A64" t="str">
        <f>SUMMARY!$B$83</f>
        <v>Cove Harbor</v>
      </c>
      <c r="B64" s="191">
        <f>SUMMARY!$A$83</f>
        <v>73</v>
      </c>
      <c r="C64" s="189">
        <f>SUMMARY!$AA$83</f>
        <v>9.4493467027838389E-3</v>
      </c>
      <c r="D64" s="189">
        <f>SUMMARY!$AB$83</f>
        <v>8.7161505549857004E-3</v>
      </c>
      <c r="E64" s="187">
        <f>SUMMARY!$BG$83</f>
        <v>0</v>
      </c>
      <c r="F64" s="132">
        <f>SUMMARY!$AC$83</f>
        <v>3.0746924731554426</v>
      </c>
      <c r="O64" t="str">
        <f>SUMMARY!$B$46</f>
        <v>Guilford Harbor</v>
      </c>
      <c r="P64" s="189">
        <f>SUMMARY!$AA$46</f>
        <v>3.8314047771024387E-2</v>
      </c>
      <c r="V64">
        <v>79</v>
      </c>
      <c r="W64" t="s">
        <v>406</v>
      </c>
    </row>
    <row r="65" spans="1:23" x14ac:dyDescent="0.35">
      <c r="A65" t="str">
        <f>SUMMARY!$B$85</f>
        <v>Wescott Cove</v>
      </c>
      <c r="B65" s="191">
        <f>SUMMARY!$A$85</f>
        <v>74</v>
      </c>
      <c r="C65" s="189">
        <f>SUMMARY!$AA$85</f>
        <v>6.6646426708862191E-4</v>
      </c>
      <c r="D65" s="189">
        <f>SUMMARY!$AB$85</f>
        <v>1.5461324362335477E-3</v>
      </c>
      <c r="E65" s="187">
        <f>SUMMARY!$BG$85</f>
        <v>0</v>
      </c>
      <c r="F65" s="132">
        <f>SUMMARY!$AC$85</f>
        <v>7.7330099180843934</v>
      </c>
      <c r="O65" t="str">
        <f>SUMMARY!$B$6</f>
        <v>Wequetequock Cove</v>
      </c>
      <c r="P65" s="189">
        <f>SUMMARY!$AA$6</f>
        <v>3.9406304292484373E-2</v>
      </c>
      <c r="V65">
        <v>80</v>
      </c>
      <c r="W65" t="s">
        <v>446</v>
      </c>
    </row>
    <row r="66" spans="1:23" x14ac:dyDescent="0.35">
      <c r="A66" t="str">
        <f>SUMMARY!$B$87</f>
        <v>Greenwich Cove</v>
      </c>
      <c r="B66" s="191">
        <f>SUMMARY!$A$87</f>
        <v>76</v>
      </c>
      <c r="C66" s="189">
        <f>SUMMARY!$AA$87</f>
        <v>8.6398051344717982E-4</v>
      </c>
      <c r="D66" s="189">
        <f>SUMMARY!$AB$87</f>
        <v>1.4018139995578239E-3</v>
      </c>
      <c r="E66" s="187">
        <f>SUMMARY!$BG$87</f>
        <v>0</v>
      </c>
      <c r="F66" s="132">
        <f>SUMMARY!$AC$87</f>
        <v>5.4083550023782836</v>
      </c>
      <c r="O66" t="str">
        <f>SUMMARY!$B$16</f>
        <v>Mystic R. + Williams C. + Beebe C.</v>
      </c>
      <c r="P66" s="189">
        <f>SUMMARY!$AA$16</f>
        <v>4.1239782922067023E-2</v>
      </c>
      <c r="V66">
        <v>81</v>
      </c>
      <c r="W66" t="s">
        <v>434</v>
      </c>
    </row>
    <row r="67" spans="1:23" x14ac:dyDescent="0.35">
      <c r="A67" t="str">
        <f>SUMMARY!$B$88</f>
        <v>Mianus River</v>
      </c>
      <c r="B67" s="191">
        <f>SUMMARY!$A$88</f>
        <v>77</v>
      </c>
      <c r="C67" s="189">
        <f>SUMMARY!$AA$88</f>
        <v>1.8520702502343223E-2</v>
      </c>
      <c r="D67" s="189">
        <f>SUMMARY!$AB$88</f>
        <v>1.0313048211677282E-2</v>
      </c>
      <c r="E67" s="187">
        <f>SUMMARY!$BG$88</f>
        <v>0</v>
      </c>
      <c r="F67" s="132">
        <f>SUMMARY!$AC$88</f>
        <v>1.8561297752020087</v>
      </c>
      <c r="O67" t="str">
        <f>SUMMARY!$B$21</f>
        <v>Poquonock River</v>
      </c>
      <c r="P67" s="189">
        <f>SUMMARY!$AA$21</f>
        <v>4.8677091032423708E-2</v>
      </c>
      <c r="V67">
        <v>84</v>
      </c>
      <c r="W67" t="s">
        <v>428</v>
      </c>
    </row>
    <row r="68" spans="1:23" x14ac:dyDescent="0.35">
      <c r="A68" t="str">
        <f>SUMMARY!$B$89</f>
        <v>Indian Harbor</v>
      </c>
      <c r="B68" s="191">
        <f>SUMMARY!$A$89</f>
        <v>78</v>
      </c>
      <c r="C68" s="189">
        <f>SUMMARY!$AA$89</f>
        <v>3.5912460279382566E-2</v>
      </c>
      <c r="D68" s="189">
        <f>SUMMARY!$AB$89</f>
        <v>2.8356492984983495E-2</v>
      </c>
      <c r="E68" s="187">
        <f>SUMMARY!$BG$89</f>
        <v>0</v>
      </c>
      <c r="F68" s="132">
        <f>SUMMARY!$AC$89</f>
        <v>2.6320013317924484</v>
      </c>
      <c r="O68" t="str">
        <f>SUMMARY!$B$40</f>
        <v>Hagar Creek</v>
      </c>
      <c r="P68" s="189">
        <f>SUMMARY!$AA$40</f>
        <v>4.9530037139422368E-2</v>
      </c>
      <c r="W68" t="s">
        <v>448</v>
      </c>
    </row>
    <row r="69" spans="1:23" x14ac:dyDescent="0.35">
      <c r="A69" t="str">
        <f>SUMMARY!$B$90</f>
        <v>Smith Cove</v>
      </c>
      <c r="B69" s="191">
        <f>SUMMARY!$A$90</f>
        <v>79</v>
      </c>
      <c r="C69" s="189">
        <f>SUMMARY!$AA$90</f>
        <v>7.84707468183851E-4</v>
      </c>
      <c r="D69" s="189">
        <f>SUMMARY!$AB$90</f>
        <v>1.4807735267734958E-3</v>
      </c>
      <c r="E69" s="187">
        <f>SUMMARY!$BG$90</f>
        <v>0</v>
      </c>
      <c r="F69" s="132">
        <f>SUMMARY!$AC$90</f>
        <v>6.2901297057048096</v>
      </c>
      <c r="O69" t="str">
        <f>SUMMARY!$B$14</f>
        <v>Mystic River</v>
      </c>
      <c r="P69" s="189">
        <f>SUMMARY!$AA$14</f>
        <v>5.5325550689683742E-2</v>
      </c>
      <c r="W69" t="s">
        <v>412</v>
      </c>
    </row>
    <row r="70" spans="1:23" x14ac:dyDescent="0.35">
      <c r="A70" t="str">
        <f>SUMMARY!$B$91</f>
        <v>Greenwich Harbor</v>
      </c>
      <c r="B70" s="191">
        <f>SUMMARY!$A$91</f>
        <v>80</v>
      </c>
      <c r="C70" s="189">
        <f>SUMMARY!$AA$91</f>
        <v>1.0548413067278011E-2</v>
      </c>
      <c r="D70" s="189">
        <f>SUMMARY!$AB$91</f>
        <v>1.2527949077110859E-2</v>
      </c>
      <c r="E70" s="187">
        <f>SUMMARY!$BG$91</f>
        <v>0</v>
      </c>
      <c r="F70" s="132">
        <f>SUMMARY!$AC$91</f>
        <v>3.9588732438416168</v>
      </c>
      <c r="O70" t="str">
        <f>SUMMARY!$B$26</f>
        <v>Jordan Cove</v>
      </c>
      <c r="P70" s="189">
        <f>SUMMARY!$AA$26</f>
        <v>5.6196389493230692E-2</v>
      </c>
      <c r="W70" t="s">
        <v>435</v>
      </c>
    </row>
    <row r="71" spans="1:23" x14ac:dyDescent="0.35">
      <c r="A71" t="str">
        <f>SUMMARY!$B$92</f>
        <v>Captain Harbor</v>
      </c>
      <c r="B71" s="191">
        <f>SUMMARY!$A$92</f>
        <v>81</v>
      </c>
      <c r="C71" s="189">
        <f>SUMMARY!$AA$92</f>
        <v>3.7855331523961966E-3</v>
      </c>
      <c r="D71" s="189">
        <f>SUMMARY!$AB$92</f>
        <v>5.2792787542315384E-3</v>
      </c>
      <c r="E71" s="187">
        <f>SUMMARY!$BG$92</f>
        <v>0</v>
      </c>
      <c r="F71" s="132">
        <f>SUMMARY!$AC$92</f>
        <v>4.6486439661212309</v>
      </c>
      <c r="O71" t="str">
        <f>SUMMARY!$B$79</f>
        <v>Gorham Pond</v>
      </c>
      <c r="P71" s="189">
        <f>SUMMARY!$AA$79</f>
        <v>6.2462042922612294E-2</v>
      </c>
      <c r="W71" t="s">
        <v>438</v>
      </c>
    </row>
    <row r="72" spans="1:23" x14ac:dyDescent="0.35">
      <c r="A72" t="str">
        <f>SUMMARY!$B$95</f>
        <v>Playland Lake, NY</v>
      </c>
      <c r="B72" s="191">
        <f>SUMMARY!$A$95</f>
        <v>84</v>
      </c>
      <c r="C72" s="189">
        <f>SUMMARY!$AA$95</f>
        <v>1.4892387955390983E-3</v>
      </c>
      <c r="D72" s="189">
        <f>SUMMARY!$AB$95</f>
        <v>2.074165000117833E-3</v>
      </c>
      <c r="E72" s="187">
        <f>SUMMARY!$BG$95</f>
        <v>0</v>
      </c>
      <c r="F72" s="132">
        <f>SUMMARY!$AC$95</f>
        <v>4.6425619279031158</v>
      </c>
      <c r="O72" t="str">
        <f>SUMMARY!$B$11</f>
        <v>Quiambog Cove</v>
      </c>
      <c r="P72" s="189">
        <f>SUMMARY!$AA$11</f>
        <v>6.5391140339017009E-2</v>
      </c>
      <c r="W72" t="s">
        <v>437</v>
      </c>
    </row>
    <row r="73" spans="1:23" x14ac:dyDescent="0.35">
      <c r="O73" t="str">
        <f>SUMMARY!$B$5</f>
        <v>Little Narragansett Bay</v>
      </c>
      <c r="P73" s="189">
        <f>SUMMARY!$AA$5</f>
        <v>6.9559179084265621E-2</v>
      </c>
      <c r="W73" t="s">
        <v>432</v>
      </c>
    </row>
    <row r="74" spans="1:23" x14ac:dyDescent="0.35">
      <c r="O74" t="str">
        <f>SUMMARY!$B$54</f>
        <v>Farm River</v>
      </c>
      <c r="P74" s="189">
        <f>SUMMARY!$AA$54</f>
        <v>7.1905581919366565E-2</v>
      </c>
      <c r="W74" t="s">
        <v>455</v>
      </c>
    </row>
    <row r="75" spans="1:23" x14ac:dyDescent="0.35">
      <c r="O75" t="str">
        <f>SUMMARY!$B$41</f>
        <v>Patchogue River</v>
      </c>
      <c r="P75" s="189">
        <f>SUMMARY!$AA$41</f>
        <v>7.7499942664106258E-2</v>
      </c>
      <c r="W75" t="s">
        <v>426</v>
      </c>
    </row>
    <row r="76" spans="1:23" x14ac:dyDescent="0.35">
      <c r="O76" t="str">
        <f>SUMMARY!$B$34</f>
        <v>Threemile River</v>
      </c>
      <c r="P76" s="189">
        <f>SUMMARY!$AA$34</f>
        <v>9.4477430939643475E-2</v>
      </c>
      <c r="W76" t="s">
        <v>447</v>
      </c>
    </row>
    <row r="77" spans="1:23" x14ac:dyDescent="0.35">
      <c r="O77" t="str">
        <f>SUMMARY!$B$57</f>
        <v>Calf Pen Meadow Creek</v>
      </c>
      <c r="P77" s="189">
        <f>SUMMARY!$AA$57</f>
        <v>0.10554136375693048</v>
      </c>
      <c r="W77" t="s">
        <v>425</v>
      </c>
    </row>
    <row r="78" spans="1:23" x14ac:dyDescent="0.35">
      <c r="O78" t="str">
        <f>SUMMARY!$B$13</f>
        <v>Williams Cove</v>
      </c>
      <c r="P78" s="189">
        <f>SUMMARY!$AA$13</f>
        <v>0.10758025200055754</v>
      </c>
      <c r="W78" t="s">
        <v>232</v>
      </c>
    </row>
    <row r="79" spans="1:23" x14ac:dyDescent="0.35">
      <c r="O79" t="str">
        <f>SUMMARY!$B$42</f>
        <v>Menunkesucket River</v>
      </c>
      <c r="P79" s="189">
        <f>SUMMARY!$AA$42</f>
        <v>0.11229171453592685</v>
      </c>
      <c r="W79" t="s">
        <v>456</v>
      </c>
    </row>
    <row r="80" spans="1:23" x14ac:dyDescent="0.35">
      <c r="O80" t="str">
        <f>SUMMARY!$B$45</f>
        <v>Fence Creek</v>
      </c>
      <c r="P80" s="189">
        <f>SUMMARY!$AA$45</f>
        <v>0.11867433381214364</v>
      </c>
      <c r="W80" t="s">
        <v>250</v>
      </c>
    </row>
    <row r="81" spans="15:23" x14ac:dyDescent="0.35">
      <c r="O81" t="str">
        <f>SUMMARY!$B$44</f>
        <v>Toms Creek</v>
      </c>
      <c r="P81" s="189">
        <f>SUMMARY!$AA$44</f>
        <v>0.12410487237907457</v>
      </c>
      <c r="W81" t="s">
        <v>427</v>
      </c>
    </row>
    <row r="82" spans="15:23" x14ac:dyDescent="0.35">
      <c r="O82" t="str">
        <f>SUMMARY!$B$39</f>
        <v>Oyster River, Old Saybrook</v>
      </c>
      <c r="P82" s="189">
        <f>SUMMARY!$AA$39</f>
        <v>0.12529495423094977</v>
      </c>
      <c r="W82" t="s">
        <v>1</v>
      </c>
    </row>
    <row r="83" spans="15:23" x14ac:dyDescent="0.35">
      <c r="O83" t="str">
        <f>SUMMARY!$B$67</f>
        <v>Mill River</v>
      </c>
      <c r="P83" s="189">
        <f>SUMMARY!$AA$67</f>
        <v>0.12857339872777321</v>
      </c>
    </row>
    <row r="84" spans="15:23" x14ac:dyDescent="0.35">
      <c r="O84" t="str">
        <f>SUMMARY!$B$32</f>
        <v>Bride Brook</v>
      </c>
      <c r="P84" s="189">
        <f>SUMMARY!$AA$32</f>
        <v>0.13440462942583487</v>
      </c>
    </row>
    <row r="85" spans="15:23" x14ac:dyDescent="0.35">
      <c r="O85" t="str">
        <f>SUMMARY!$B$56</f>
        <v>Oyster River, Milford</v>
      </c>
      <c r="P85" s="189">
        <f>SUMMARY!$AA$56</f>
        <v>0.13895734859353284</v>
      </c>
    </row>
    <row r="86" spans="15:23" x14ac:dyDescent="0.35">
      <c r="O86" t="str">
        <f>SUMMARY!$B$31</f>
        <v>Pattagansett River</v>
      </c>
      <c r="P86" s="189">
        <f>SUMMARY!$AA$31</f>
        <v>0.17092831183885301</v>
      </c>
    </row>
    <row r="87" spans="15:23" x14ac:dyDescent="0.35">
      <c r="O87" t="str">
        <f>SUMMARY!$B$62</f>
        <v>Pequonnock River</v>
      </c>
      <c r="P87" s="189">
        <f>SUMMARY!$AA$62</f>
        <v>0.17270118473732457</v>
      </c>
    </row>
    <row r="88" spans="15:23" x14ac:dyDescent="0.35">
      <c r="O88" t="str">
        <f>SUMMARY!$B$68</f>
        <v>Sasco Brook</v>
      </c>
      <c r="P88" s="189">
        <f>SUMMARY!$AA$68</f>
        <v>0.17722209650132434</v>
      </c>
    </row>
    <row r="89" spans="15:23" x14ac:dyDescent="0.35">
      <c r="O89" t="str">
        <f>SUMMARY!$B$93</f>
        <v>Byram River</v>
      </c>
      <c r="P89" s="189">
        <f>SUMMARY!$AA$93</f>
        <v>0.21135326145182456</v>
      </c>
    </row>
    <row r="90" spans="15:23" x14ac:dyDescent="0.35">
      <c r="O90" t="str">
        <f>SUMMARY!$B$33</f>
        <v>Four Mile River</v>
      </c>
      <c r="P90" s="189">
        <f>SUMMARY!$AA$33</f>
        <v>0.22141986238987602</v>
      </c>
    </row>
    <row r="91" spans="15:23" x14ac:dyDescent="0.35">
      <c r="O91" t="str">
        <f>SUMMARY!$B$4</f>
        <v>Pawcatuck River, CT &amp; RI</v>
      </c>
      <c r="P91" s="189">
        <f>SUMMARY!$AA$4</f>
        <v>0.23830978434408229</v>
      </c>
    </row>
  </sheetData>
  <sortState xmlns:xlrd2="http://schemas.microsoft.com/office/spreadsheetml/2017/richdata2" ref="H4:M23">
    <sortCondition ref="L4:L23"/>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vt:i4>
      </vt:variant>
    </vt:vector>
  </HeadingPairs>
  <TitlesOfParts>
    <vt:vector size="12" baseType="lpstr">
      <vt:lpstr>SUMMARY</vt:lpstr>
      <vt:lpstr>Works Cited</vt:lpstr>
      <vt:lpstr>WWTP source data</vt:lpstr>
      <vt:lpstr>Table 1</vt:lpstr>
      <vt:lpstr>EmbChar SigmaPlot</vt:lpstr>
      <vt:lpstr>Table 10</vt:lpstr>
      <vt:lpstr>Table 13</vt:lpstr>
      <vt:lpstr>App 7 Table</vt:lpstr>
      <vt:lpstr>plotDilRatio, export to MatLab</vt:lpstr>
      <vt:lpstr>Shall Distrib, export to MatLab</vt:lpstr>
      <vt:lpstr>'WWTP source data'!Print_Area</vt:lpstr>
      <vt:lpstr>'WWTP source data'!Print_Titles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Vaudrey</dc:creator>
  <cp:lastModifiedBy>Vaudrey</cp:lastModifiedBy>
  <dcterms:created xsi:type="dcterms:W3CDTF">2020-06-04T20:12:47Z</dcterms:created>
  <dcterms:modified xsi:type="dcterms:W3CDTF">2022-07-06T18:42:12Z</dcterms:modified>
</cp:coreProperties>
</file>